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5200" windowHeight="11985"/>
  </bookViews>
  <sheets>
    <sheet name="образование" sheetId="3" r:id="rId1"/>
    <sheet name="соц защита населения" sheetId="4" r:id="rId2"/>
    <sheet name="культура" sheetId="8" r:id="rId3"/>
    <sheet name="спорт" sheetId="9" r:id="rId4"/>
    <sheet name="прочие" sheetId="7" r:id="rId5"/>
  </sheets>
  <definedNames>
    <definedName name="_xlnm.Print_Area" localSheetId="2">культура!$A$1:$L$26</definedName>
    <definedName name="_xlnm.Print_Area" localSheetId="0">образование!$A$1:$L$309</definedName>
    <definedName name="_xlnm.Print_Area" localSheetId="4">прочие!$A$1:$L$15</definedName>
    <definedName name="_xlnm.Print_Area" localSheetId="1">'соц защита населения'!$A$1:$L$19</definedName>
    <definedName name="_xlnm.Print_Area" localSheetId="3">спорт!$A$1:$L$18</definedName>
  </definedNames>
  <calcPr calcId="152511"/>
</workbook>
</file>

<file path=xl/calcChain.xml><?xml version="1.0" encoding="utf-8"?>
<calcChain xmlns="http://schemas.openxmlformats.org/spreadsheetml/2006/main">
  <c r="K244" i="3" l="1"/>
  <c r="K231" i="3"/>
  <c r="K227" i="3"/>
  <c r="K210" i="3"/>
  <c r="K207" i="3"/>
  <c r="K204" i="3"/>
  <c r="K191" i="3"/>
  <c r="K179" i="3"/>
  <c r="K178" i="3"/>
  <c r="K177" i="3"/>
  <c r="K173" i="3"/>
  <c r="F172" i="3"/>
  <c r="K159" i="3"/>
  <c r="J159" i="3"/>
  <c r="K147" i="3"/>
  <c r="J147" i="3"/>
  <c r="K146" i="3"/>
  <c r="J146" i="3"/>
  <c r="K140" i="3"/>
  <c r="J140" i="3"/>
  <c r="K138" i="3"/>
  <c r="J138" i="3"/>
  <c r="K136" i="3"/>
  <c r="J136" i="3"/>
  <c r="K135" i="3"/>
  <c r="J135" i="3"/>
  <c r="K133" i="3"/>
  <c r="J133" i="3"/>
  <c r="K130" i="3"/>
  <c r="J130" i="3"/>
  <c r="K128" i="3"/>
  <c r="J128" i="3"/>
  <c r="K122" i="3"/>
  <c r="J122" i="3"/>
  <c r="K121" i="3"/>
  <c r="J121" i="3"/>
  <c r="K116" i="3"/>
  <c r="J116" i="3"/>
  <c r="K114" i="3"/>
  <c r="J114" i="3"/>
  <c r="K111" i="3"/>
  <c r="J111" i="3"/>
  <c r="K109" i="3"/>
  <c r="J109" i="3"/>
  <c r="K101" i="3"/>
  <c r="J101" i="3"/>
  <c r="K97" i="3"/>
  <c r="J97" i="3"/>
  <c r="K89" i="3"/>
  <c r="J89" i="3"/>
  <c r="K87" i="3"/>
  <c r="J87" i="3"/>
  <c r="K73" i="3"/>
  <c r="J73" i="3"/>
  <c r="K71" i="3"/>
  <c r="J71" i="3"/>
  <c r="K65" i="3"/>
  <c r="J65" i="3"/>
  <c r="K44" i="3"/>
  <c r="J44" i="3"/>
  <c r="K38" i="3"/>
  <c r="J38" i="3"/>
  <c r="K37" i="3"/>
  <c r="J37" i="3"/>
  <c r="K26" i="3"/>
  <c r="J26" i="3"/>
  <c r="K25" i="3"/>
  <c r="J25" i="3"/>
  <c r="H25" i="3"/>
  <c r="K18" i="3"/>
  <c r="J18" i="3"/>
  <c r="K12" i="3"/>
  <c r="J12" i="3"/>
  <c r="K11" i="3"/>
  <c r="J11" i="3"/>
  <c r="K10" i="3" l="1"/>
  <c r="J10" i="3"/>
  <c r="K9" i="3"/>
  <c r="J9" i="3"/>
  <c r="K6" i="3"/>
  <c r="J6" i="3"/>
  <c r="F299" i="3" l="1"/>
  <c r="G295" i="3" s="1"/>
  <c r="K273" i="3"/>
  <c r="J306" i="3"/>
  <c r="G297" i="3" l="1"/>
  <c r="G299" i="3"/>
  <c r="F26" i="8"/>
  <c r="F17" i="8"/>
  <c r="F16" i="8"/>
  <c r="F15" i="8"/>
  <c r="F13" i="8"/>
  <c r="F12" i="8"/>
  <c r="F11" i="8"/>
  <c r="F10" i="8"/>
  <c r="F9" i="8"/>
  <c r="F8" i="8"/>
  <c r="F7" i="8"/>
  <c r="F6" i="8"/>
  <c r="F5" i="8"/>
  <c r="K17" i="4" l="1"/>
  <c r="J17" i="4"/>
  <c r="H17" i="9" l="1"/>
  <c r="F17" i="9"/>
  <c r="G293" i="3"/>
  <c r="G291" i="3"/>
  <c r="G289" i="3"/>
  <c r="G287" i="3"/>
  <c r="G285" i="3"/>
  <c r="G283" i="3"/>
  <c r="G281" i="3"/>
  <c r="G279" i="3"/>
  <c r="G277" i="3"/>
  <c r="G275" i="3"/>
  <c r="G273" i="3"/>
  <c r="G271" i="3"/>
  <c r="G269" i="3"/>
  <c r="F264" i="3"/>
  <c r="F263" i="3"/>
  <c r="F167" i="3"/>
  <c r="F166" i="3" s="1"/>
  <c r="G11" i="3" s="1"/>
  <c r="F262" i="3" l="1"/>
  <c r="G217" i="3" s="1"/>
  <c r="G170" i="3"/>
  <c r="G169" i="3"/>
  <c r="G220" i="3"/>
  <c r="G237" i="3"/>
  <c r="G193" i="3"/>
  <c r="G181" i="3"/>
  <c r="G258" i="3"/>
  <c r="G254" i="3"/>
  <c r="G242" i="3"/>
  <c r="G238" i="3"/>
  <c r="G226" i="3"/>
  <c r="G222" i="3"/>
  <c r="G210" i="3"/>
  <c r="G206" i="3"/>
  <c r="G194" i="3"/>
  <c r="G190" i="3"/>
  <c r="G178" i="3"/>
  <c r="G174" i="3"/>
  <c r="G255" i="3"/>
  <c r="G251" i="3"/>
  <c r="G239" i="3"/>
  <c r="G235" i="3"/>
  <c r="G223" i="3"/>
  <c r="G219" i="3"/>
  <c r="G207" i="3"/>
  <c r="G203" i="3"/>
  <c r="G191" i="3"/>
  <c r="G187" i="3"/>
  <c r="G265" i="3"/>
  <c r="G260" i="3"/>
  <c r="G248" i="3"/>
  <c r="G244" i="3"/>
  <c r="G232" i="3"/>
  <c r="G228" i="3"/>
  <c r="G212" i="3"/>
  <c r="G208" i="3"/>
  <c r="G196" i="3"/>
  <c r="G192" i="3"/>
  <c r="G188" i="3"/>
  <c r="G180" i="3"/>
  <c r="G176" i="3"/>
  <c r="G172" i="3"/>
  <c r="G261" i="3"/>
  <c r="G257" i="3"/>
  <c r="G253" i="3"/>
  <c r="G245" i="3"/>
  <c r="G241" i="3"/>
  <c r="G233" i="3"/>
  <c r="G225" i="3"/>
  <c r="G221" i="3"/>
  <c r="G213" i="3"/>
  <c r="G201" i="3"/>
  <c r="G197" i="3"/>
  <c r="G189" i="3"/>
  <c r="G177" i="3"/>
  <c r="G168" i="3"/>
  <c r="G185" i="3" l="1"/>
  <c r="G209" i="3"/>
  <c r="G229" i="3"/>
  <c r="G249" i="3"/>
  <c r="G266" i="3"/>
  <c r="G184" i="3"/>
  <c r="G200" i="3"/>
  <c r="G216" i="3"/>
  <c r="G236" i="3"/>
  <c r="G252" i="3"/>
  <c r="G175" i="3"/>
  <c r="G195" i="3"/>
  <c r="G211" i="3"/>
  <c r="G227" i="3"/>
  <c r="G243" i="3"/>
  <c r="G259" i="3"/>
  <c r="G182" i="3"/>
  <c r="G198" i="3"/>
  <c r="G214" i="3"/>
  <c r="G230" i="3"/>
  <c r="G246" i="3"/>
  <c r="G267" i="3"/>
  <c r="G205" i="3"/>
  <c r="G179" i="3"/>
  <c r="G204" i="3"/>
  <c r="G224" i="3"/>
  <c r="G240" i="3"/>
  <c r="G256" i="3"/>
  <c r="G183" i="3"/>
  <c r="G199" i="3"/>
  <c r="G215" i="3"/>
  <c r="G231" i="3"/>
  <c r="G247" i="3"/>
  <c r="G264" i="3"/>
  <c r="G186" i="3"/>
  <c r="G202" i="3"/>
  <c r="G218" i="3"/>
  <c r="G234" i="3"/>
  <c r="G250" i="3"/>
  <c r="G173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18" i="3"/>
  <c r="G14" i="3"/>
  <c r="G10" i="3"/>
  <c r="G6" i="3"/>
  <c r="G159" i="3"/>
  <c r="G155" i="3"/>
  <c r="G147" i="3"/>
  <c r="G143" i="3"/>
  <c r="G139" i="3"/>
  <c r="G135" i="3"/>
  <c r="G131" i="3"/>
  <c r="G127" i="3"/>
  <c r="G123" i="3"/>
  <c r="G119" i="3"/>
  <c r="G115" i="3"/>
  <c r="G103" i="3"/>
  <c r="G99" i="3"/>
  <c r="G91" i="3"/>
  <c r="G79" i="3"/>
  <c r="G71" i="3"/>
  <c r="G59" i="3"/>
  <c r="G51" i="3"/>
  <c r="G27" i="3"/>
  <c r="G163" i="3"/>
  <c r="G111" i="3"/>
  <c r="G83" i="3"/>
  <c r="G63" i="3"/>
  <c r="G43" i="3"/>
  <c r="G23" i="3"/>
  <c r="G164" i="3"/>
  <c r="G160" i="3"/>
  <c r="G156" i="3"/>
  <c r="G152" i="3"/>
  <c r="G148" i="3"/>
  <c r="G144" i="3"/>
  <c r="G140" i="3"/>
  <c r="G136" i="3"/>
  <c r="G132" i="3"/>
  <c r="G128" i="3"/>
  <c r="G124" i="3"/>
  <c r="G120" i="3"/>
  <c r="G116" i="3"/>
  <c r="G112" i="3"/>
  <c r="G108" i="3"/>
  <c r="G104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6" i="3"/>
  <c r="G12" i="3"/>
  <c r="G8" i="3"/>
  <c r="G35" i="3"/>
  <c r="G15" i="3"/>
  <c r="G165" i="3"/>
  <c r="G161" i="3"/>
  <c r="G157" i="3"/>
  <c r="G153" i="3"/>
  <c r="G149" i="3"/>
  <c r="G145" i="3"/>
  <c r="G141" i="3"/>
  <c r="G137" i="3"/>
  <c r="G133" i="3"/>
  <c r="G129" i="3"/>
  <c r="G125" i="3"/>
  <c r="G121" i="3"/>
  <c r="G117" i="3"/>
  <c r="G113" i="3"/>
  <c r="G109" i="3"/>
  <c r="G105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17" i="3"/>
  <c r="G13" i="3"/>
  <c r="G9" i="3"/>
  <c r="G151" i="3"/>
  <c r="G107" i="3"/>
  <c r="G95" i="3"/>
  <c r="G87" i="3"/>
  <c r="G75" i="3"/>
  <c r="G67" i="3"/>
  <c r="G55" i="3"/>
  <c r="G47" i="3"/>
  <c r="G39" i="3"/>
  <c r="G31" i="3"/>
  <c r="G19" i="3"/>
  <c r="G7" i="3"/>
  <c r="G263" i="3" l="1"/>
  <c r="G262" i="3" s="1"/>
  <c r="G167" i="3"/>
  <c r="G166" i="3" s="1"/>
</calcChain>
</file>

<file path=xl/sharedStrings.xml><?xml version="1.0" encoding="utf-8"?>
<sst xmlns="http://schemas.openxmlformats.org/spreadsheetml/2006/main" count="1815" uniqueCount="417">
  <si>
    <t>Наименование хозяйствующего субъекта</t>
  </si>
  <si>
    <t>местный бюджет</t>
  </si>
  <si>
    <t>областной бюджет</t>
  </si>
  <si>
    <t>Объем реализации товаров, работ, услуг в натуральном выражении</t>
  </si>
  <si>
    <t>Объем выручки, тыс рублей</t>
  </si>
  <si>
    <t>Суммарный объем государственного и муниципального финансирования хозяйствующего субъекта, рублей</t>
  </si>
  <si>
    <t>Рыночная доля хозяйствующего субъекта в натуральном выражении (по Новокузнецкому городскому округу), %</t>
  </si>
  <si>
    <t>Рыночная доля хозяйствующего субъекта в стоимостном выражении (по Новокузнецкому городскому округу), %</t>
  </si>
  <si>
    <t>Отраслевой орган</t>
  </si>
  <si>
    <t>Муниципальное автономное учреждение "Центр поддержки предпринимательства"</t>
  </si>
  <si>
    <t xml:space="preserve">Комитет по управлению муниципальным имуществом города Новокузнецка </t>
  </si>
  <si>
    <t>Муниципальное бюджетное учреждение "Архив города Новокузнецка"</t>
  </si>
  <si>
    <t>ДОШКОЛЬНЫЕ ОБРАЗОВАТЕЛЬНЫЕ УЧРЕЖДЕНИЯ</t>
  </si>
  <si>
    <t>ОБЩЕОБРАЗОВАТЕЛЬНЫЕ УЧРЕЖДЕНИЯ</t>
  </si>
  <si>
    <t>УЧРЕЖДЕНИЯ ДОПОЛНИТЕЛЬНОГО ОБРАЗОВАНИЯ</t>
  </si>
  <si>
    <t>ДОПОЛНИТЕЛЬНОЕ ПРОФЕССИОНАЛЬНОЕ ОБРАЗОВАНИЕ</t>
  </si>
  <si>
    <t>ПРОЧИЕ</t>
  </si>
  <si>
    <t>Муниципальное автономное учреждение "Ремонтно-эксплуатационное управление"</t>
  </si>
  <si>
    <t>Муниципальное автономное образовательное учреждение дополнительного профессионального образования "Институт повышения квалификации"</t>
  </si>
  <si>
    <t>МА ДОУ «Центр развития ребёнка – детский сад №3»</t>
  </si>
  <si>
    <t>МБ ДОУ «Детский сад № 4»</t>
  </si>
  <si>
    <t>МБ ДОУ «Центр развития ребенка – детский сад № 6»</t>
  </si>
  <si>
    <t>МБ ДОУ «Детский сад № 7»</t>
  </si>
  <si>
    <t>МБ ДОУ «Детский сад № 9»</t>
  </si>
  <si>
    <t>МБ ДОУ «Детский сад № 10»</t>
  </si>
  <si>
    <t>МБ ДОУ «Детский сад № 11»</t>
  </si>
  <si>
    <t>МБ ДОУ "Детский сад №14"</t>
  </si>
  <si>
    <t>МБ ДОУ «Детский сад № 12»</t>
  </si>
  <si>
    <t>МБ ДОУ "Детский сад №15"</t>
  </si>
  <si>
    <t>МБ ДОУ "Детский сад №16"</t>
  </si>
  <si>
    <t>МБ ДОУ «Детский сад № 17»</t>
  </si>
  <si>
    <t>МБ ДОУ «Детский сад № 18»</t>
  </si>
  <si>
    <t>МБ ДОУ "Детский сад №19"</t>
  </si>
  <si>
    <t>МБ ДОУ "Детский сад №20"</t>
  </si>
  <si>
    <t>МБ ДОУ «Детский сад № 22»</t>
  </si>
  <si>
    <t>МБ ДОУ «Детский сад №25»</t>
  </si>
  <si>
    <t>МБ ДОУ «Детский сад № 27»</t>
  </si>
  <si>
    <t>МБ ДОУ «Детский сад № 30»</t>
  </si>
  <si>
    <t>МБ ДОУ «Детский сад № 31»</t>
  </si>
  <si>
    <t>МБ ДОУ «Детский сад №33»</t>
  </si>
  <si>
    <t>МБ ДОУ «Детский сад №35»</t>
  </si>
  <si>
    <t>МБ ДОУ "Детский сад №36"</t>
  </si>
  <si>
    <t>МБ ДОУ "Детский сад №37"</t>
  </si>
  <si>
    <t>МК ДОУ «Детский сад № 41»</t>
  </si>
  <si>
    <t>МБ ДОУ "Детский сад № 42"</t>
  </si>
  <si>
    <t>МБ ДОУ "Детский сад №43"</t>
  </si>
  <si>
    <t>МБ ДОУ «Детский сад № 44»</t>
  </si>
  <si>
    <t>МБ ДОУ «Детский сад №45»</t>
  </si>
  <si>
    <t>МБ ДОУ «Детский сад № 48»</t>
  </si>
  <si>
    <t>МБ ДОУ «Детский сад № 54»</t>
  </si>
  <si>
    <t>МБ ДОУ «Детский сад № 55»</t>
  </si>
  <si>
    <t>МБ ДОУ «Детский сад № 58»</t>
  </si>
  <si>
    <t>МБ ДОУ «Детский сад № 59»</t>
  </si>
  <si>
    <t>МБ ДОУ «Детский сад № 61»</t>
  </si>
  <si>
    <t>МБ ДОУ «Детский сад № 63»</t>
  </si>
  <si>
    <t>МБ ДОУ «Детский сад № 64»</t>
  </si>
  <si>
    <t>МАДОУ «Детский сад №65»</t>
  </si>
  <si>
    <t>МБ ДОУ «Детский сад № 70»</t>
  </si>
  <si>
    <t>МК ДОУ «Детский сад № 75»</t>
  </si>
  <si>
    <t>МБ ДОУ «Детский сад № 76»</t>
  </si>
  <si>
    <t>МК ДОУ "Детский сад №78"</t>
  </si>
  <si>
    <t>МБ ДОУ «Детский сад № 79»</t>
  </si>
  <si>
    <t>МБ ДОУ «Детский сад № 83»</t>
  </si>
  <si>
    <t>МБ ДОУ «Детский сад № 84»</t>
  </si>
  <si>
    <t>МБ ДОУ «Детский сад № 88»</t>
  </si>
  <si>
    <t>МБ ДОУ «Детский сад № 91»</t>
  </si>
  <si>
    <t>МБ ДОУ «Детский сад № 94»</t>
  </si>
  <si>
    <t>МБ ДОУ "Детский сад №96"</t>
  </si>
  <si>
    <t>МБ ДОУ "Детский сад №97"</t>
  </si>
  <si>
    <t>МБ ДОУ «Детский сад № 101»</t>
  </si>
  <si>
    <t>МБ ДОУ «Детский сад №102»</t>
  </si>
  <si>
    <t>МБ ДОУ «Детский сад № 103»</t>
  </si>
  <si>
    <t>МБ ДОУ «Детский сад № 104»</t>
  </si>
  <si>
    <t>МБ ДОУ «Детский сад № 106»</t>
  </si>
  <si>
    <t>МБ ДОУ «Детский сад № 108»</t>
  </si>
  <si>
    <t>МБ ДОУ «Детский сад № 114»</t>
  </si>
  <si>
    <t>МБ ДОУ «Детский сад №115»</t>
  </si>
  <si>
    <t>МБ ДОУ «Детский сад № 117»</t>
  </si>
  <si>
    <t>МБ ДОУ «Детский сад № 118»</t>
  </si>
  <si>
    <t>МБ ДОУ «Детский сад № 120»</t>
  </si>
  <si>
    <t>МБ ДОУ « Детский сад № 123»</t>
  </si>
  <si>
    <t>МА ДОУ "Детский сад №124"</t>
  </si>
  <si>
    <t>МБ ДОУ "Детский сад №125"</t>
  </si>
  <si>
    <t>МБ ДОУ «Детский сад № 128»</t>
  </si>
  <si>
    <t>МБ ДОУ «Детский сад № 131»</t>
  </si>
  <si>
    <t>МБ ДОУ "Детский сад №132"</t>
  </si>
  <si>
    <t>МБ ДОУ «Детский сад № 133»</t>
  </si>
  <si>
    <t>МБ ДОУ «Детский сад №136»</t>
  </si>
  <si>
    <t>МК ДОУ «Детский сад № 137»</t>
  </si>
  <si>
    <t>МБ ДОУ "Детский сад № 139"</t>
  </si>
  <si>
    <t>МК ДОУ «Детский сад № 140»</t>
  </si>
  <si>
    <t>МБ ДОУ «Детский сад № 144»</t>
  </si>
  <si>
    <t>МБ ДОУ «Детский сад №145»</t>
  </si>
  <si>
    <t>МБ ДОУ «Детский сад № 147»</t>
  </si>
  <si>
    <t>МБ ДОУ «Детский сад № 148»</t>
  </si>
  <si>
    <t>МБ ДОУ «Детский сад №149»</t>
  </si>
  <si>
    <t>МБ ДОУ «Детский сад №150»</t>
  </si>
  <si>
    <t>МБ ДОУ «Детский сад №153»</t>
  </si>
  <si>
    <t>МБ ДОУ «Детский сад № 156»</t>
  </si>
  <si>
    <t>МБ ДОУ «Детский сад № 157»</t>
  </si>
  <si>
    <t>МБ ДОУ «Детский сад№158»</t>
  </si>
  <si>
    <t>МБ ДОУ «Детский сад № 162»</t>
  </si>
  <si>
    <t>МА ДОУ « Детский сад № 165»</t>
  </si>
  <si>
    <t>МБ ДОУ «Детский сад № 166»</t>
  </si>
  <si>
    <t>МБ ДОУ «Детский сад №168»</t>
  </si>
  <si>
    <t>МБ ДОУ «Детский сад № 169»</t>
  </si>
  <si>
    <t>МБ ДОУ «Детский сад №172»</t>
  </si>
  <si>
    <t>МБ ДОУ «Детский сад № 173»</t>
  </si>
  <si>
    <t>МА ДОУ «Центр развития ребёнка – детский сад №175»</t>
  </si>
  <si>
    <t>МБ ДОУ «Детский сад № 177»</t>
  </si>
  <si>
    <t>МБ ДОУ «Детский сад № 178»</t>
  </si>
  <si>
    <t>МБ ДОУ «Детский сад №179»</t>
  </si>
  <si>
    <t>МБ ДОУ «Детский сад № 180»</t>
  </si>
  <si>
    <t>МК ДОУ «Детский сад № 181»</t>
  </si>
  <si>
    <t>МБ ДОУ «Детский сад №182»</t>
  </si>
  <si>
    <t>МБ ДОУ «Детский сад №184»</t>
  </si>
  <si>
    <t>МБ ДОУ «Детский сад № 185»</t>
  </si>
  <si>
    <t>МБ ДОУ «Детский сад № 186»</t>
  </si>
  <si>
    <t>МК ДОУ «Детский сад № 188»</t>
  </si>
  <si>
    <t>МБ ДОУ «Детский сад № 193»</t>
  </si>
  <si>
    <t>МБ ДОУ «Детский сад №194»</t>
  </si>
  <si>
    <t>МБ ДОУ «Детский сад № 195»</t>
  </si>
  <si>
    <t>МБ ДОУ «Детский сад № 196»</t>
  </si>
  <si>
    <t>МБ ДОУ «Детский сад № 198»</t>
  </si>
  <si>
    <t>МБ ДОУ «Детский сад №200»</t>
  </si>
  <si>
    <t>МБ ДОУ "Детский сад №203"</t>
  </si>
  <si>
    <t>МБ ДОУ «Детский сад № 204»</t>
  </si>
  <si>
    <t>МБ ДОУ «Детский сад № 206»</t>
  </si>
  <si>
    <t>МБ ДОУ «Детский сад № 207»</t>
  </si>
  <si>
    <t>МБ ДОУ «Детский сад №208»</t>
  </si>
  <si>
    <t>МБ ДОУ «Детский сад №209»</t>
  </si>
  <si>
    <t>МА ДОУ "Детский сад №210</t>
  </si>
  <si>
    <t>МК ДОУ «Детский сад №212»</t>
  </si>
  <si>
    <t>МБ ДОУ « Детский сад № 213»</t>
  </si>
  <si>
    <t>МБ ДОУ «Детский сад № 214»</t>
  </si>
  <si>
    <t>МБ ДОУ «Детский сад № 215»</t>
  </si>
  <si>
    <t>МБ ДОУ «Детский сад № 217»</t>
  </si>
  <si>
    <t>МБ ДОУ «Детский сад № 219»</t>
  </si>
  <si>
    <t>МБ ДОУ «Детский сад № 221»</t>
  </si>
  <si>
    <t>МК ДОУ «Детский сад № 222»</t>
  </si>
  <si>
    <t>МБ ДОУ "Детский сад №223"</t>
  </si>
  <si>
    <t>МБ ДОУ «Центр развития ребенка – Детский сад № 224»</t>
  </si>
  <si>
    <t>МК ДОУ «Детский сад №225»</t>
  </si>
  <si>
    <t>МБ ДОУ «Детский сад № 226»</t>
  </si>
  <si>
    <t>МБ ДОУ «Детский сад № 227»</t>
  </si>
  <si>
    <t>МК ДОУ «Детский сад № 229»</t>
  </si>
  <si>
    <t>МБ ДОУ «Детский сад № 231»</t>
  </si>
  <si>
    <t>МБ ДОУ «Детский сад № 233»</t>
  </si>
  <si>
    <t>МБ ДОУ «Детский сад № 237»</t>
  </si>
  <si>
    <t>МБ ДОУ «Детский сад № 238»</t>
  </si>
  <si>
    <t>МБ ДОУ "Детский сад №239"</t>
  </si>
  <si>
    <t>МБ ДОУ «Детский сад № 240»</t>
  </si>
  <si>
    <t>МБ ДОУ «Детский сад № 241»</t>
  </si>
  <si>
    <t>МБ ДОУ «Детский сад № 242»</t>
  </si>
  <si>
    <t>МБ ДОУ "Детский сад №243"</t>
  </si>
  <si>
    <t>МБ ДОУ "Детский сад № 244"</t>
  </si>
  <si>
    <t>МБ ДОУ "Детский сад №245"</t>
  </si>
  <si>
    <t>МБ ДОУ "Детский сад №246"</t>
  </si>
  <si>
    <t>МБ ДОУ «Детский сад № 247»</t>
  </si>
  <si>
    <t>МБ ДОУ «Детский сад № 248»</t>
  </si>
  <si>
    <t>МБ ДОУ «Детский сад № 249»</t>
  </si>
  <si>
    <t>МБ ДОУ "Детский сад № 250"</t>
  </si>
  <si>
    <t>МБ ДОУ «Детский сад № 251»</t>
  </si>
  <si>
    <t>МБ ДОУ «Детский сад № 252»</t>
  </si>
  <si>
    <t>МБ ДОУ «Детский сад № 253»</t>
  </si>
  <si>
    <t>МК ДОУ «Детский сад № 254»</t>
  </si>
  <si>
    <t>МБ ДОУ «Детский сад №255»</t>
  </si>
  <si>
    <t>МБ ДОУ «Детский сад № 256»</t>
  </si>
  <si>
    <t>МБ ДОУ «Детский сад № 257»</t>
  </si>
  <si>
    <t>МБ ДОУ «Детский сад № 258»</t>
  </si>
  <si>
    <t>МБ ДОУ "Детский сад №259"</t>
  </si>
  <si>
    <t>МБ ДОУ «Детский сад №260»</t>
  </si>
  <si>
    <t>МБ ДОУ «Детский сад № 261»</t>
  </si>
  <si>
    <t>МБ ДОУ «Детский сад № 266»</t>
  </si>
  <si>
    <t>МБ ДОУ «Детский сад № 268»</t>
  </si>
  <si>
    <t>МБ ДОУ «Детский сад № 272»</t>
  </si>
  <si>
    <t>МБ ДОУ «Детский сад № 274»</t>
  </si>
  <si>
    <t>МБ ДОУ «Детский сад № 276»</t>
  </si>
  <si>
    <t>МБ ДОУ «Детский сад № 279»</t>
  </si>
  <si>
    <t>Комитет образования и науки администрации города Новокузнецка (далее - КОиН)</t>
  </si>
  <si>
    <t>КОиН</t>
  </si>
  <si>
    <t>Рынок услуг дошкольного образования</t>
  </si>
  <si>
    <t>МАУ ДО «Военно-патриотический парк «Патриот»</t>
  </si>
  <si>
    <t>МБ ОУ ДО «Городской Дворец детского (юношеского) творчества им. Н.К. Крупской»</t>
  </si>
  <si>
    <t>МАУ ДО «Детско-юношеский центр «Орион»</t>
  </si>
  <si>
    <t>МБУ ДО «Центр детского (юношеского) технического творчества «Меридиан»</t>
  </si>
  <si>
    <t>МБУ ДО «Дом творчества «Вектор»</t>
  </si>
  <si>
    <t>МБУ ДО «Дом детского творчества №1»</t>
  </si>
  <si>
    <t>МБУ ДО «Дом детского творчества № 2»</t>
  </si>
  <si>
    <t>МБУ ДО «Дом детского творчества № 4»</t>
  </si>
  <si>
    <t>МБ ОУ ДО «Дом детского творчества № 5»</t>
  </si>
  <si>
    <t>МБУ ДО «Станция юных натуралистов»</t>
  </si>
  <si>
    <t>МБУ ДО "Детско-юношеская спортивная школа № 3"</t>
  </si>
  <si>
    <t>МАУ ДО «Детско – юношеская спортивная школа №5»</t>
  </si>
  <si>
    <t>МБ ОУ ДО "Детско-юношеская спортивная школа №7"</t>
  </si>
  <si>
    <t>МБУ ДО «Детский оздоровительно-образовательный (профильный) центр «Крепыш»»</t>
  </si>
  <si>
    <t>МБУ ДО «Центр развития творчества «Уголёк»</t>
  </si>
  <si>
    <t>МК ОУ «Начальная школа – детский сад № 235»</t>
  </si>
  <si>
    <t>МБ ОУ «Основная общеобразовательная школа № 1»</t>
  </si>
  <si>
    <t>МБ ОУ «Средняя общеобразовательная школа № 2»</t>
  </si>
  <si>
    <t>МБ ОУ «Средняя общеобразовательная школа № 4»</t>
  </si>
  <si>
    <t>МБОУ «Средняя общеобразовательная школа №5»</t>
  </si>
  <si>
    <t>МБ ОУ «Средняя общеобразовательная школа №6»</t>
  </si>
  <si>
    <t>МБ ОУ «Средняя общеобразовательная школа № 8»</t>
  </si>
  <si>
    <t>МБ ОУ «Средняя общеобразовательная школа № 9 имени В.К. Демидова»</t>
  </si>
  <si>
    <t>МБ ОУ «Гимназия №10 им. Ф.М. Достоевского»</t>
  </si>
  <si>
    <t>МБ НОУ «Лицей №11»</t>
  </si>
  <si>
    <t>МБ ОУ «Средняя общеобразовательная школа №12 имени Героя Советского Союза Черновского С.А.»</t>
  </si>
  <si>
    <t>МБ ОУ «Средняя общеобразовательная школа № 13»</t>
  </si>
  <si>
    <t>МБ ОУ «Средняя общеобразовательная школа № 14»</t>
  </si>
  <si>
    <t>МБ ОУ «Основная общеобразовательная школа №16»</t>
  </si>
  <si>
    <t>МБ НОУ «Гимназия №17 им. В.П. Чкалова»</t>
  </si>
  <si>
    <t>МБ ОУ «Средняя общеобразовательная школа № 18»</t>
  </si>
  <si>
    <t>МА ОУ "Основная общеобразовательная школа №19"</t>
  </si>
  <si>
    <t>МК ОУ «Специальная школа № 20»</t>
  </si>
  <si>
    <t>МБ ОУ «Средняя общеобразовательная школа № 22»</t>
  </si>
  <si>
    <t>МБ ОУ «Основная общеобразовательная школа №23»</t>
  </si>
  <si>
    <t>МБ ОУ «Основная общеобразовательная школа №24»</t>
  </si>
  <si>
    <t>МБ ОУ «Средняя общеобразовательная школа № 26»</t>
  </si>
  <si>
    <t>МБ ОУ "Средняя общеобразовательная школа №27" имени И.Д. Смолькина</t>
  </si>
  <si>
    <t>МБ ОУ "Основная общеобразовательная школа №28"</t>
  </si>
  <si>
    <t>МБ ОУ "Средняя общеобразовательная школа №29"</t>
  </si>
  <si>
    <t>МК ОУ «Специальная школа № 30»</t>
  </si>
  <si>
    <t>МБ ОУ «Средняя общеобразовательная школа № 31»</t>
  </si>
  <si>
    <t>МБ ОУ «Гимназия № 32»</t>
  </si>
  <si>
    <t>МБ ОУ «Основная общеобразовательная школа № 33»</t>
  </si>
  <si>
    <t>МБ ОУ «Лицей № 34»</t>
  </si>
  <si>
    <t>МБ ОУ «Лицей № 35 имени Анны Ивановны Герлингер»</t>
  </si>
  <si>
    <t>МБ ОУ "Средняя общеобразовательная школа №36"</t>
  </si>
  <si>
    <t>МБ ОУ «Средняя общеобразовательная школа № 37»</t>
  </si>
  <si>
    <t>МК ОУ «Специальная школа-интернат № 38»</t>
  </si>
  <si>
    <t>МБ ОУ «Средняя общеобразовательная школа № 41»</t>
  </si>
  <si>
    <t>МБ ОУ «Основная общеобразовательная школа № 43»</t>
  </si>
  <si>
    <t>МБ НОУ «Гимназия № 44»</t>
  </si>
  <si>
    <t>МБ ОУ «Лицей № 46»</t>
  </si>
  <si>
    <t>МБ ОУ «Средняя общеобразовательная школа №47»</t>
  </si>
  <si>
    <t>МБ НОУ «Гимназия № 48»</t>
  </si>
  <si>
    <t>МБ ОУ «Средняя общеобразовательная школа № 49»</t>
  </si>
  <si>
    <t>МБ ОУ «Средняя общеобразовательная школа № 50»</t>
  </si>
  <si>
    <t>МБ ОУ «Средняя общеобразовательная школа № 52»</t>
  </si>
  <si>
    <t>МК ОУ "Специальная школа №53"</t>
  </si>
  <si>
    <t>МБ ОУ «Средняя общеобразовательная школа № 55»</t>
  </si>
  <si>
    <t>МБ ОУ "Средняя общеобразовательная школа №56"</t>
  </si>
  <si>
    <t>МКОУ «Специальная школа № 58»</t>
  </si>
  <si>
    <t>МБ НОУ «Гимназия №59»</t>
  </si>
  <si>
    <t>МБ ОУ "Средняя общеобразовательная школа №60"</t>
  </si>
  <si>
    <t>МБ ОУ "Средняя общеобразовательная школа №61"</t>
  </si>
  <si>
    <t>МБ НОУ «Гимназия №62»</t>
  </si>
  <si>
    <t>МБ ОУ "Средняя общеобразовательная школа №64"</t>
  </si>
  <si>
    <t>МБ ОУ «Средняя общеобразовательная школа № 65»</t>
  </si>
  <si>
    <t>МК ОУ «Специальная школа-интернат № 66»</t>
  </si>
  <si>
    <t>МБ ОУ «Средняя общеобразовательная школа №67»</t>
  </si>
  <si>
    <t>МБ ОУ "Средняя общеобразовательная школа №69"</t>
  </si>
  <si>
    <t>МБ НОУ «Гимназия № 70»</t>
  </si>
  <si>
    <t>МБ ОУ «Средняя общеобразовательная школа № 71»</t>
  </si>
  <si>
    <t>МБ ОУ «Средняя общеобразовательная школа № 72 с углубленным изучением английского языка»</t>
  </si>
  <si>
    <t>МБ ОУ «Гимназия №73»</t>
  </si>
  <si>
    <t>МНБОУ «Лицей №76»</t>
  </si>
  <si>
    <t>МБ ОУ «Средняя общеобразовательная школа № 77»</t>
  </si>
  <si>
    <t>МК ОУ «Специальная школа №78»</t>
  </si>
  <si>
    <t>МБ ОУ «Средняя общеобразовательная школа № 79»</t>
  </si>
  <si>
    <t>МК ОУ «Специальная школа №80»</t>
  </si>
  <si>
    <t>МА ОУ «Средняя общеобразовательная школа № 81 им. Е. И. Стародуб»</t>
  </si>
  <si>
    <t>МК ОУ «Санаторная школа-интернат №82»</t>
  </si>
  <si>
    <t>МБ НОУ «Лицей № 84 имени В.А.Власова»</t>
  </si>
  <si>
    <t>МБ ОУ "Основная общеобразовательная школа №83"</t>
  </si>
  <si>
    <t>МК ОУ «Специальная школа-интернат № 88»</t>
  </si>
  <si>
    <t>МБ ОУ «Основная общеобразовательная школа № 89»</t>
  </si>
  <si>
    <t>МБ ОУ «Средняя общеобразовательная школа № 91»</t>
  </si>
  <si>
    <t>МБ ОУ «Средняя общеобразовательная школа № 92»</t>
  </si>
  <si>
    <t>МБ ОУ «Средняя общеобразовательная школа № 93»</t>
  </si>
  <si>
    <t>МБ ОУ «Средняя общеобразовательная школа № 94»</t>
  </si>
  <si>
    <t>МБ ОУ «Средняя общеобразовательная школа № 97»</t>
  </si>
  <si>
    <t>МА ОУ «Средняя общеобразовательная школа №99»</t>
  </si>
  <si>
    <t>МБ ОУ «Основная общеобразовательная школа № 100 им. С.Е. Цветкова»</t>
  </si>
  <si>
    <t>МБ ОУ «Средняя общеобразовательная школа №101»</t>
  </si>
  <si>
    <t>МБ ОУ «Средняя общеобразовательная школа №102»</t>
  </si>
  <si>
    <t>МБ ОУ «Основная общеобразовательная школа № 103»</t>
  </si>
  <si>
    <t>МБ ОУ «Лицей№104»</t>
  </si>
  <si>
    <t>МК ОУ «Специальная школа № 106»</t>
  </si>
  <si>
    <t>МБ ОУ «Средняя общеобразовательная школа № 107»</t>
  </si>
  <si>
    <t>МА ОУ "Средняя общеобразовательная школа №110"</t>
  </si>
  <si>
    <t>МБ НОУ «Лицей № 111»</t>
  </si>
  <si>
    <t>МА ОУ «Средняя общеобразовательная школа №112 с углубленным изучением информатики»</t>
  </si>
  <si>
    <t>МК ОУ "Детский дом-школа № 95"</t>
  </si>
  <si>
    <t>МКУ «Детский дом «Ровесник»</t>
  </si>
  <si>
    <t>МКУ «Детский дом «Остров надежды»</t>
  </si>
  <si>
    <t>Рынок услуг общего образования</t>
  </si>
  <si>
    <t>Рынок услуг дополнительного образования детей</t>
  </si>
  <si>
    <t>Рынок услуг дополнительного профессионального образования</t>
  </si>
  <si>
    <t>Муниципальное бюджетное учреждение "Централизованная бухгалтерия Комитета образования и науки администрации города Новокузнецка"</t>
  </si>
  <si>
    <t>х</t>
  </si>
  <si>
    <t>МБУ "Комплексный центр социального обслуживания населения Кузнецкого района"</t>
  </si>
  <si>
    <t>МБУ "Комплексный центр социального обслуживания населения Новоильинского района"</t>
  </si>
  <si>
    <t>МБУ "Комплексный центр социального обслуживания населения Орджоникидзевского района"</t>
  </si>
  <si>
    <t>МБУ "Комплексный центр социального обслуживания населения Заводского района"</t>
  </si>
  <si>
    <t>МБУ "Комплексный центр социального обслуживания населения Центрального района"</t>
  </si>
  <si>
    <t>МБУ "Комплексный центр социального обслуживания населения Куйбышевского района"</t>
  </si>
  <si>
    <t>МКУ "Центр реабилитации детей и подростков с ограниченными возможностями"</t>
  </si>
  <si>
    <t xml:space="preserve">МКУ "Социально-реабилитационный центр для несовершеннолетних "Уютный дом" </t>
  </si>
  <si>
    <t xml:space="preserve">МКУ "Социально-реабилитационный центр для несовершеннолетних "Алые паруса" </t>
  </si>
  <si>
    <t xml:space="preserve">МКУ "Социально-реабилитационный центр для несовершеннолетних "Полярная звезда" </t>
  </si>
  <si>
    <t>МКУ "Дом ночного пребывания для лиц без определенного места жительства и занятий"</t>
  </si>
  <si>
    <t>МКУ "Центр социальной помощи семье и детям"</t>
  </si>
  <si>
    <t>МАУ "Оздоровительные центры"</t>
  </si>
  <si>
    <t>Рынок услуг психолого-педагогического сопровождения детей с ограниченными возможностями здоровья</t>
  </si>
  <si>
    <t xml:space="preserve">Рынок социальных услуг 
(временное содержание детей-сирот и детей, оставшихся без попечения родителей, социальная реабилитация детей, оказавшихся в трудной жизненной ситуации, находящихся в социально опасном положении) </t>
  </si>
  <si>
    <t>Рынок социальных услуг 
(оказание экстренной адресной социальной помощи гражданам, оказавшимся в трудной жизненной ситуации без жилья и средств к существованию)</t>
  </si>
  <si>
    <t>Рынок социальных услуг 
(предоставление социальных услуг гражданам, признанным нуждающимся в социальном обслуживании в связи с полной или частичной утратой способности либо возможности осуществлять самообслуживание)</t>
  </si>
  <si>
    <t>Рынок социальных услуг 
(предоставление социальных услуг семьям с детьми, признанными нуждающимися в социальном обслуживании, социальная реабилитация несовершеннолетних с различными формами и степенью социальной дезадаптации, семей, имеющих детей-инвалидов, а также несовершеннолетних с девиантным поведением, обеспечения им социальной помощи)</t>
  </si>
  <si>
    <t>Рынок социальных услуг 
(организация загородного оздоровительного отдыха семьям с детьми, попавшим в трудную жизненную ситуацию)</t>
  </si>
  <si>
    <t>МАУК "Новокузнецкий художестенный музей"</t>
  </si>
  <si>
    <t>МАУК "Новокузнецкий краеведческий музей"</t>
  </si>
  <si>
    <t>МАУК "Музей-заповедник "Кузнецкая крепость"</t>
  </si>
  <si>
    <t>МБУ "Муниципальная информационно-библиотечная система"</t>
  </si>
  <si>
    <t>МАУ "Культурно-методический центр "Планетарий" им. А.А. Федорова"</t>
  </si>
  <si>
    <t>МАУ "Многофункциональный культурно-досуговый комплекс "Куйбышевского района"</t>
  </si>
  <si>
    <t>МАУ "Многофункциональный культурно-досуговый комплекс "Орджоникидзевского района"</t>
  </si>
  <si>
    <t>МАУ "Многофункциональный культурно-досуговый комплекс "Центрального района"</t>
  </si>
  <si>
    <t>МАУК "Досуговый центр "Комсомолец"</t>
  </si>
  <si>
    <t>МАУК "Дворец культуры "Алюминщик"</t>
  </si>
  <si>
    <t>МБУ ДО "Детская школа искусств № 1"</t>
  </si>
  <si>
    <t>МБУ ДО "Детская музыкальная школа № 40"</t>
  </si>
  <si>
    <t xml:space="preserve">МБОУ ДО "Детская школа искусств № 48" </t>
  </si>
  <si>
    <t>МБУ ДО "Детская школа искусств № 55"</t>
  </si>
  <si>
    <t>МБУ ДО "Детская школа искусств № 58"</t>
  </si>
  <si>
    <t>МКУ "Координационно-аналитический центр Управления культуры"</t>
  </si>
  <si>
    <t>МБУ ДО "Детская школа искусств № 47 
им. М.Ф. Мацулевич"</t>
  </si>
  <si>
    <t>оказание услуг в области бухгалтерского учета</t>
  </si>
  <si>
    <t>организация общественного питания, обслуживание, производство и поставка продуктов питания</t>
  </si>
  <si>
    <t>Муниципальное бюджетное учреждение 
"Комбинат питания"</t>
  </si>
  <si>
    <t>управление эксплуатацией нежилого фонда</t>
  </si>
  <si>
    <t>МБУ "Специализированная служба по вопросам похоронного дела" Новокузнецкого городского округа</t>
  </si>
  <si>
    <t>МБУ "Дирекция ЖКХ"</t>
  </si>
  <si>
    <t>аренда и управление собственным или арендованным жилым недвижимым имуществом</t>
  </si>
  <si>
    <t>организация похорон и связанных с ними услуг</t>
  </si>
  <si>
    <t>предоставление услуг в сфере культуры</t>
  </si>
  <si>
    <t>предоставление услуг дополнительного образования</t>
  </si>
  <si>
    <t>предоставление услуг субъектам малого и среднего предпринимательства</t>
  </si>
  <si>
    <t>деятельность архивов</t>
  </si>
  <si>
    <t>МБУ "Городской молодежный центр "Социум"</t>
  </si>
  <si>
    <t>предоставление услуг в области дополнительного образования, физкультурно-оздоровительная деятельность</t>
  </si>
  <si>
    <t>МБУ "Городское управление развития территории"</t>
  </si>
  <si>
    <t>Наименование рынка/отрасли присутствия хозяйствующего субъекта</t>
  </si>
  <si>
    <t>единица измерения</t>
  </si>
  <si>
    <t>количество</t>
  </si>
  <si>
    <t>социальных услуг</t>
  </si>
  <si>
    <t>размещенных лиц</t>
  </si>
  <si>
    <t>детей</t>
  </si>
  <si>
    <t>отдыхающих</t>
  </si>
  <si>
    <t>разработка сметной документации</t>
  </si>
  <si>
    <t>проверка сметной документации</t>
  </si>
  <si>
    <t>услуг кремации</t>
  </si>
  <si>
    <t>Комитет жилищно-коммунального хозяйства</t>
  </si>
  <si>
    <t>Управление дорожно-коммунального хозяйства и благоустройства</t>
  </si>
  <si>
    <t>услуг</t>
  </si>
  <si>
    <t>МАУК "Литературно-мемориальный музей 
Ф.М. Достоевского"</t>
  </si>
  <si>
    <t>занимающихся, человек</t>
  </si>
  <si>
    <t xml:space="preserve">Комитет по физической культуре, спорту и туризму администрации города Новокузнецка </t>
  </si>
  <si>
    <t>оказанных услуг</t>
  </si>
  <si>
    <t>обучающихся</t>
  </si>
  <si>
    <t>оказанных платных образовательных услуг</t>
  </si>
  <si>
    <t>объектов учета (регистров)</t>
  </si>
  <si>
    <t>работ, актов, нормативных документов</t>
  </si>
  <si>
    <t>кв метры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</si>
  <si>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всем хозсубъектам рынка </t>
    </r>
    <r>
      <rPr>
        <sz val="11"/>
        <color theme="1"/>
        <rFont val="Times New Roman"/>
        <family val="1"/>
        <charset val="204"/>
      </rPr>
      <t>услуг общего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</si>
  <si>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муниципальным учреждениям </t>
    </r>
    <r>
      <rPr>
        <sz val="11"/>
        <color theme="1"/>
        <rFont val="Times New Roman"/>
        <family val="1"/>
        <charset val="204"/>
      </rPr>
      <t>общего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</si>
  <si>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частным организациям </t>
    </r>
    <r>
      <rPr>
        <sz val="11"/>
        <color theme="1"/>
        <rFont val="Times New Roman"/>
        <family val="1"/>
        <charset val="204"/>
      </rPr>
      <t>рынка услуг общего образования</t>
    </r>
  </si>
  <si>
    <t>единиц</t>
  </si>
  <si>
    <t>га (подготовка документации по планировке территории)</t>
  </si>
  <si>
    <t>га (инженерные изыскания)</t>
  </si>
  <si>
    <t>Объем выручки, тыс рублей*</t>
  </si>
  <si>
    <t>* примечание: указан доход учреждений от оказания платных услуг</t>
  </si>
  <si>
    <t>га (объектов коммунальной инфраструктуры , на которых проведены работы для проведения кадастрового учета земельных участков, на которых расположены или будут расположены объекты коммунальной ифраструктуры)</t>
  </si>
  <si>
    <t>разработка проектно-сметной документации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</si>
  <si>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>по муниципальным учреждениям</t>
    </r>
    <r>
      <rPr>
        <sz val="11"/>
        <color theme="1"/>
        <rFont val="Times New Roman"/>
        <family val="1"/>
        <charset val="204"/>
      </rPr>
      <t xml:space="preserve"> дополнительного образования</t>
    </r>
  </si>
  <si>
    <r>
      <t>итого</t>
    </r>
    <r>
      <rPr>
        <b/>
        <sz val="11"/>
        <color theme="1"/>
        <rFont val="Times New Roman"/>
        <family val="1"/>
        <charset val="204"/>
      </rPr>
      <t xml:space="preserve"> по организациям дополнительного образования 
различных форм</t>
    </r>
    <r>
      <rPr>
        <sz val="11"/>
        <color theme="1"/>
        <rFont val="Times New Roman"/>
        <family val="1"/>
        <charset val="204"/>
      </rPr>
      <t xml:space="preserve"> собственности города Новокузнецка</t>
    </r>
  </si>
  <si>
    <t>количество составленных отчетов, количество объектов учета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</si>
  <si>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по муниципальным учреждениям</t>
    </r>
    <r>
      <rPr>
        <sz val="12"/>
        <color theme="1"/>
        <rFont val="Times New Roman"/>
        <family val="1"/>
        <charset val="204"/>
      </rPr>
      <t xml:space="preserve"> дополнительного образования 
в сфере спорта</t>
    </r>
  </si>
  <si>
    <t>МБУ "Централизованная бухгалтерия Управления культуры"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</si>
  <si>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>по всем хозсубъектам рынка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</si>
  <si>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муниципальным учреждениям 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</si>
  <si>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частным организациям </t>
    </r>
    <r>
      <rPr>
        <sz val="11"/>
        <color theme="1"/>
        <rFont val="Times New Roman"/>
        <family val="1"/>
        <charset val="204"/>
      </rPr>
      <t>рынка</t>
    </r>
  </si>
  <si>
    <r>
      <rPr>
        <sz val="10"/>
        <color theme="1"/>
        <rFont val="Times New Roman"/>
        <family val="1"/>
        <charset val="204"/>
      </rPr>
      <t>хозяйствующий субъект рынка № 1</t>
    </r>
    <r>
      <rPr>
        <i/>
        <sz val="10"/>
        <color theme="1"/>
        <rFont val="Times New Roman"/>
        <family val="1"/>
        <charset val="204"/>
      </rPr>
      <t xml:space="preserve"> (ЧДОУ "Детский сад №174" ОАО "РЖД")</t>
    </r>
  </si>
  <si>
    <r>
      <rPr>
        <sz val="10"/>
        <color theme="1"/>
        <rFont val="Times New Roman"/>
        <family val="1"/>
        <charset val="204"/>
      </rPr>
      <t>хозяйствующий субъект рынка услуг общего образования № 1</t>
    </r>
    <r>
      <rPr>
        <i/>
        <sz val="10"/>
        <color theme="1"/>
        <rFont val="Times New Roman"/>
        <family val="1"/>
        <charset val="204"/>
      </rPr>
      <t xml:space="preserve"> (ЧОУ "Православная гимназия во имя Святителя Луки Войно-Ясенецкого")</t>
    </r>
  </si>
  <si>
    <r>
      <rPr>
        <sz val="10"/>
        <color theme="1"/>
        <rFont val="Times New Roman"/>
        <family val="1"/>
        <charset val="204"/>
      </rPr>
      <t>хозяйствующий субъект рынка услуг общего образования № 2</t>
    </r>
    <r>
      <rPr>
        <i/>
        <sz val="10"/>
        <color theme="1"/>
        <rFont val="Times New Roman"/>
        <family val="1"/>
        <charset val="204"/>
      </rPr>
      <t xml:space="preserve"> (АНОО НОШ 
«Интеллект Академия»
)</t>
    </r>
  </si>
  <si>
    <t>хозяйствующий субъект рынка услуг общего образования № 3</t>
  </si>
  <si>
    <t>Комитет градостроительтства и земельных ресурсов администрации города Новокузнецка</t>
  </si>
  <si>
    <t>деятельность в области архитектуры</t>
  </si>
  <si>
    <t xml:space="preserve">Перечень муниципальных учреждений Новокузнецкого городского округа, осуществлявших деятельность в 2023 году </t>
  </si>
  <si>
    <t>обучающихся в
2022-2023 учебном году</t>
  </si>
  <si>
    <t>обучающихся в 
2022-2023 учебном году</t>
  </si>
  <si>
    <t>МАУ ДО «СШ по вольной борьбе» им.А.Г.Смолянинова</t>
  </si>
  <si>
    <t>МАУ ДО «СШОР по горнолыжному спорту»</t>
  </si>
  <si>
    <t>МАУ ДО «СШ  «Грань»</t>
  </si>
  <si>
    <t>МАУ ДО «СШОР по настольному теннису»</t>
  </si>
  <si>
    <t>МАУ ДО «СШ по шахматам» им.Б.А.Кустова</t>
  </si>
  <si>
    <t>МАУ ДО «СШ № 6  им. Манеева В.П.»</t>
  </si>
  <si>
    <t>МАУ ДО «СШОР по легкой атлетике»</t>
  </si>
  <si>
    <t>МАУ ДО «СШОР по регби «Буревестник»</t>
  </si>
  <si>
    <t>МАУ ДО «СШОР «Металлург»</t>
  </si>
  <si>
    <t>МАУ ДО «СШ № 2»</t>
  </si>
  <si>
    <t>МАУ ДО «СШ «Металлург-Запсиб»</t>
  </si>
  <si>
    <t>МАУ«Ледовый дворец «Новокузнецк»</t>
  </si>
  <si>
    <t>Комитет социальной защиты администрации города Новокузнецка (далее - КСЗ)</t>
  </si>
  <si>
    <t>КСЗ</t>
  </si>
  <si>
    <t>-</t>
  </si>
  <si>
    <t>МАУ "Центр культуры и театрального искусства "Театр артиста"</t>
  </si>
  <si>
    <t>МАУК "Джаз-клуб "Геликон" (с января по 01 марта)</t>
  </si>
  <si>
    <t>Управление культуры и молодежной политики</t>
  </si>
  <si>
    <t>человек</t>
  </si>
  <si>
    <t>сопровождение деятельности учреждений, подведомственных Управлению культуры и молодежной политики администрации города Новокузнецка</t>
  </si>
  <si>
    <t>дохода нет</t>
  </si>
  <si>
    <t>предоставление услуг в сфере молодежной политики</t>
  </si>
  <si>
    <r>
      <rPr>
        <sz val="10"/>
        <color theme="1"/>
        <rFont val="Times New Roman"/>
        <family val="1"/>
        <charset val="204"/>
      </rPr>
      <t>хозяйствующий субъект рынка № 2</t>
    </r>
    <r>
      <rPr>
        <i/>
        <sz val="10"/>
        <color theme="1"/>
        <rFont val="Times New Roman"/>
        <family val="1"/>
        <charset val="204"/>
      </rPr>
      <t xml:space="preserve"> (ЧДОУ "ЦРР"Росток")</t>
    </r>
  </si>
  <si>
    <t>п.м. (инженерные изыскания)</t>
  </si>
  <si>
    <t>1,688,25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</si>
</sst>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.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left" vertical="center" wrapText="1" indent="1"/>
    </xf>
    <xf numFmtId="165" fontId="1" fillId="0" borderId="1" xfId="0" applyNumberFormat="1" applyFont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165" fontId="7" fillId="5" borderId="1" xfId="0" applyNumberFormat="1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" fillId="6" borderId="6" xfId="0" applyNumberFormat="1" applyFont="1" applyFill="1" applyBorder="1" applyAlignment="1">
      <alignment horizontal="center" vertical="center" wrapText="1"/>
    </xf>
    <xf numFmtId="165" fontId="1" fillId="6" borderId="5" xfId="0" applyNumberFormat="1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3" fillId="6" borderId="6" xfId="0" applyNumberFormat="1" applyFont="1" applyFill="1" applyBorder="1" applyAlignment="1">
      <alignment horizontal="center" vertical="center" wrapText="1"/>
    </xf>
    <xf numFmtId="2" fontId="13" fillId="6" borderId="5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4" fontId="1" fillId="6" borderId="6" xfId="0" applyNumberFormat="1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 wrapText="1"/>
    </xf>
    <xf numFmtId="166" fontId="12" fillId="6" borderId="6" xfId="1" applyNumberFormat="1" applyFont="1" applyFill="1" applyBorder="1" applyAlignment="1">
      <alignment horizontal="center" vertical="center" wrapText="1"/>
    </xf>
    <xf numFmtId="166" fontId="12" fillId="6" borderId="5" xfId="1" applyNumberFormat="1" applyFont="1" applyFill="1" applyBorder="1" applyAlignment="1">
      <alignment horizontal="center" vertical="center" wrapText="1"/>
    </xf>
    <xf numFmtId="167" fontId="12" fillId="6" borderId="6" xfId="1" applyNumberFormat="1" applyFont="1" applyFill="1" applyBorder="1" applyAlignment="1">
      <alignment horizontal="center" vertical="center" wrapText="1"/>
    </xf>
    <xf numFmtId="167" fontId="12" fillId="6" borderId="5" xfId="1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R311"/>
  <sheetViews>
    <sheetView tabSelected="1" zoomScale="80" zoomScaleNormal="80" workbookViewId="0">
      <pane ySplit="4" topLeftCell="A290" activePane="bottomLeft" state="frozen"/>
      <selection pane="bottomLeft" activeCell="F266" sqref="F266"/>
    </sheetView>
  </sheetViews>
  <sheetFormatPr defaultRowHeight="15" x14ac:dyDescent="0.25"/>
  <cols>
    <col min="1" max="1" width="3.7109375" style="2" customWidth="1"/>
    <col min="2" max="2" width="46" style="2" customWidth="1"/>
    <col min="3" max="3" width="23.42578125" style="2" customWidth="1"/>
    <col min="4" max="4" width="26.28515625" style="2" customWidth="1"/>
    <col min="5" max="5" width="23.140625" style="2" customWidth="1"/>
    <col min="6" max="6" width="15.8554687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7.5703125" style="2" customWidth="1"/>
    <col min="11" max="11" width="15.85546875" style="2" customWidth="1"/>
    <col min="12" max="12" width="3.5703125" style="2" customWidth="1"/>
    <col min="13" max="16384" width="9.140625" style="2"/>
  </cols>
  <sheetData>
    <row r="1" spans="2:44" ht="16.5" customHeight="1" x14ac:dyDescent="0.25">
      <c r="B1" s="87" t="s">
        <v>389</v>
      </c>
      <c r="C1" s="87"/>
      <c r="D1" s="87"/>
      <c r="E1" s="87"/>
      <c r="F1" s="87"/>
      <c r="G1" s="87"/>
      <c r="H1" s="87"/>
      <c r="I1" s="87"/>
      <c r="J1" s="87"/>
      <c r="K1" s="87"/>
    </row>
    <row r="2" spans="2:44" ht="25.5" customHeigh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44" ht="92.25" customHeight="1" x14ac:dyDescent="0.25">
      <c r="B3" s="86" t="s">
        <v>0</v>
      </c>
      <c r="C3" s="86" t="s">
        <v>8</v>
      </c>
      <c r="D3" s="86" t="s">
        <v>343</v>
      </c>
      <c r="E3" s="86" t="s">
        <v>3</v>
      </c>
      <c r="F3" s="86"/>
      <c r="G3" s="86" t="s">
        <v>6</v>
      </c>
      <c r="H3" s="86" t="s">
        <v>371</v>
      </c>
      <c r="I3" s="86" t="s">
        <v>7</v>
      </c>
      <c r="J3" s="86" t="s">
        <v>5</v>
      </c>
      <c r="K3" s="8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2:44" ht="28.5" x14ac:dyDescent="0.25">
      <c r="B4" s="86"/>
      <c r="C4" s="86"/>
      <c r="D4" s="86"/>
      <c r="E4" s="13" t="s">
        <v>344</v>
      </c>
      <c r="F4" s="13" t="s">
        <v>345</v>
      </c>
      <c r="G4" s="86"/>
      <c r="H4" s="86"/>
      <c r="I4" s="86"/>
      <c r="J4" s="13" t="s">
        <v>1</v>
      </c>
      <c r="K4" s="13" t="s">
        <v>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2:44" ht="15" customHeight="1" x14ac:dyDescent="0.25">
      <c r="B5" s="94" t="s">
        <v>12</v>
      </c>
      <c r="C5" s="94"/>
      <c r="D5" s="94"/>
      <c r="E5" s="94"/>
      <c r="F5" s="94"/>
      <c r="G5" s="94"/>
      <c r="H5" s="94"/>
      <c r="I5" s="94"/>
      <c r="J5" s="94"/>
      <c r="K5" s="94"/>
    </row>
    <row r="6" spans="2:44" ht="60" x14ac:dyDescent="0.25">
      <c r="B6" s="16" t="s">
        <v>19</v>
      </c>
      <c r="C6" s="4" t="s">
        <v>179</v>
      </c>
      <c r="D6" s="21" t="s">
        <v>181</v>
      </c>
      <c r="E6" s="10" t="s">
        <v>390</v>
      </c>
      <c r="F6" s="67">
        <v>656</v>
      </c>
      <c r="G6" s="12">
        <f>(F6/$F$166)*100</f>
        <v>2.6980340544542241</v>
      </c>
      <c r="H6" s="64">
        <v>2304.75</v>
      </c>
      <c r="I6" s="40" t="s">
        <v>291</v>
      </c>
      <c r="J6" s="64">
        <f>48806014.59+187533.29</f>
        <v>48993547.880000003</v>
      </c>
      <c r="K6" s="64">
        <f>62263900+1651102.96</f>
        <v>63915002.960000001</v>
      </c>
    </row>
    <row r="7" spans="2:44" ht="30" x14ac:dyDescent="0.25">
      <c r="B7" s="16" t="s">
        <v>20</v>
      </c>
      <c r="C7" s="4" t="s">
        <v>180</v>
      </c>
      <c r="D7" s="21" t="s">
        <v>181</v>
      </c>
      <c r="E7" s="10" t="s">
        <v>390</v>
      </c>
      <c r="F7" s="47">
        <v>137</v>
      </c>
      <c r="G7" s="12">
        <f t="shared" ref="G7:G70" si="0">(F7/$F$166)*100</f>
        <v>0.56346138027473891</v>
      </c>
      <c r="H7" s="61">
        <v>3138.3</v>
      </c>
      <c r="I7" s="40" t="s">
        <v>291</v>
      </c>
      <c r="J7" s="61">
        <v>14605986.58</v>
      </c>
      <c r="K7" s="61">
        <v>15281830.57</v>
      </c>
    </row>
    <row r="8" spans="2:44" ht="31.5" x14ac:dyDescent="0.25">
      <c r="B8" s="16" t="s">
        <v>21</v>
      </c>
      <c r="C8" s="4" t="s">
        <v>180</v>
      </c>
      <c r="D8" s="21" t="s">
        <v>181</v>
      </c>
      <c r="E8" s="10" t="s">
        <v>390</v>
      </c>
      <c r="F8" s="67">
        <v>236</v>
      </c>
      <c r="G8" s="12">
        <f t="shared" si="0"/>
        <v>0.97063420251706833</v>
      </c>
      <c r="H8" s="64">
        <v>262.66000000000003</v>
      </c>
      <c r="I8" s="40" t="s">
        <v>291</v>
      </c>
      <c r="J8" s="64">
        <v>16120649.939999999</v>
      </c>
      <c r="K8" s="64">
        <v>16569000</v>
      </c>
    </row>
    <row r="9" spans="2:44" ht="30" x14ac:dyDescent="0.25">
      <c r="B9" s="16" t="s">
        <v>22</v>
      </c>
      <c r="C9" s="4" t="s">
        <v>180</v>
      </c>
      <c r="D9" s="21" t="s">
        <v>181</v>
      </c>
      <c r="E9" s="10" t="s">
        <v>390</v>
      </c>
      <c r="F9" s="67">
        <v>283</v>
      </c>
      <c r="G9" s="12">
        <f t="shared" si="0"/>
        <v>1.1639384716624168</v>
      </c>
      <c r="H9" s="64">
        <v>983.98</v>
      </c>
      <c r="I9" s="40" t="s">
        <v>291</v>
      </c>
      <c r="J9" s="64">
        <f>25237983.19-1778284.39</f>
        <v>23459698.800000001</v>
      </c>
      <c r="K9" s="64">
        <f>27240000+1778284.39</f>
        <v>29018284.390000001</v>
      </c>
    </row>
    <row r="10" spans="2:44" ht="30" x14ac:dyDescent="0.25">
      <c r="B10" s="16" t="s">
        <v>23</v>
      </c>
      <c r="C10" s="4" t="s">
        <v>180</v>
      </c>
      <c r="D10" s="21" t="s">
        <v>181</v>
      </c>
      <c r="E10" s="10" t="s">
        <v>390</v>
      </c>
      <c r="F10" s="67">
        <v>205</v>
      </c>
      <c r="G10" s="12">
        <f t="shared" si="0"/>
        <v>0.84313564201694502</v>
      </c>
      <c r="H10" s="64">
        <v>993.11</v>
      </c>
      <c r="I10" s="40" t="s">
        <v>291</v>
      </c>
      <c r="J10" s="64">
        <f>22947716.36-1544397.8</f>
        <v>21403318.559999999</v>
      </c>
      <c r="K10" s="64">
        <f>19802000+1544397.8</f>
        <v>21346397.800000001</v>
      </c>
    </row>
    <row r="11" spans="2:44" ht="30" x14ac:dyDescent="0.25">
      <c r="B11" s="16" t="s">
        <v>24</v>
      </c>
      <c r="C11" s="4" t="s">
        <v>180</v>
      </c>
      <c r="D11" s="21" t="s">
        <v>181</v>
      </c>
      <c r="E11" s="10" t="s">
        <v>390</v>
      </c>
      <c r="F11" s="67">
        <v>175</v>
      </c>
      <c r="G11" s="12">
        <f t="shared" si="0"/>
        <v>0.71974993830714817</v>
      </c>
      <c r="H11" s="65">
        <v>471.07</v>
      </c>
      <c r="I11" s="40" t="s">
        <v>291</v>
      </c>
      <c r="J11" s="65">
        <f>18783268.81-301500</f>
        <v>18481768.809999999</v>
      </c>
      <c r="K11" s="65">
        <f>22872000+301500</f>
        <v>23173500</v>
      </c>
    </row>
    <row r="12" spans="2:44" ht="30" x14ac:dyDescent="0.25">
      <c r="B12" s="16" t="s">
        <v>25</v>
      </c>
      <c r="C12" s="4" t="s">
        <v>180</v>
      </c>
      <c r="D12" s="21" t="s">
        <v>181</v>
      </c>
      <c r="E12" s="10" t="s">
        <v>390</v>
      </c>
      <c r="F12" s="67">
        <v>103</v>
      </c>
      <c r="G12" s="12">
        <f t="shared" si="0"/>
        <v>0.42362424940363574</v>
      </c>
      <c r="H12" s="36">
        <v>0</v>
      </c>
      <c r="I12" s="40" t="s">
        <v>291</v>
      </c>
      <c r="J12" s="65">
        <f>13947187.99-231594.99</f>
        <v>13715593</v>
      </c>
      <c r="K12" s="65">
        <f>8025000+231594.99</f>
        <v>8256594.9900000002</v>
      </c>
    </row>
    <row r="13" spans="2:44" ht="30" x14ac:dyDescent="0.25">
      <c r="B13" s="16" t="s">
        <v>27</v>
      </c>
      <c r="C13" s="4" t="s">
        <v>180</v>
      </c>
      <c r="D13" s="21" t="s">
        <v>181</v>
      </c>
      <c r="E13" s="10" t="s">
        <v>390</v>
      </c>
      <c r="F13" s="47">
        <v>120</v>
      </c>
      <c r="G13" s="12">
        <f t="shared" si="0"/>
        <v>0.49354281483918727</v>
      </c>
      <c r="H13" s="66">
        <v>2863.29</v>
      </c>
      <c r="I13" s="40" t="s">
        <v>291</v>
      </c>
      <c r="J13" s="66">
        <v>8592544.1099999994</v>
      </c>
      <c r="K13" s="66">
        <v>8246284.8600000003</v>
      </c>
    </row>
    <row r="14" spans="2:44" ht="30" x14ac:dyDescent="0.25">
      <c r="B14" s="16" t="s">
        <v>26</v>
      </c>
      <c r="C14" s="4" t="s">
        <v>180</v>
      </c>
      <c r="D14" s="21" t="s">
        <v>181</v>
      </c>
      <c r="E14" s="10" t="s">
        <v>390</v>
      </c>
      <c r="F14" s="47">
        <v>166</v>
      </c>
      <c r="G14" s="12">
        <f t="shared" si="0"/>
        <v>0.68273422719420918</v>
      </c>
      <c r="H14" s="66">
        <v>4167.8900000000003</v>
      </c>
      <c r="I14" s="40" t="s">
        <v>291</v>
      </c>
      <c r="J14" s="66">
        <v>13215038.689999999</v>
      </c>
      <c r="K14" s="66">
        <v>9673394.0800000001</v>
      </c>
    </row>
    <row r="15" spans="2:44" ht="30" x14ac:dyDescent="0.25">
      <c r="B15" s="16" t="s">
        <v>28</v>
      </c>
      <c r="C15" s="4" t="s">
        <v>180</v>
      </c>
      <c r="D15" s="21" t="s">
        <v>181</v>
      </c>
      <c r="E15" s="10" t="s">
        <v>390</v>
      </c>
      <c r="F15" s="47">
        <v>197</v>
      </c>
      <c r="G15" s="12">
        <f t="shared" si="0"/>
        <v>0.81023278769433249</v>
      </c>
      <c r="H15" s="66">
        <v>4658.3599999999997</v>
      </c>
      <c r="I15" s="40" t="s">
        <v>291</v>
      </c>
      <c r="J15" s="66">
        <v>18455585.75</v>
      </c>
      <c r="K15" s="66">
        <v>16449954.619999999</v>
      </c>
    </row>
    <row r="16" spans="2:44" ht="30" x14ac:dyDescent="0.25">
      <c r="B16" s="16" t="s">
        <v>29</v>
      </c>
      <c r="C16" s="4" t="s">
        <v>180</v>
      </c>
      <c r="D16" s="21" t="s">
        <v>181</v>
      </c>
      <c r="E16" s="10" t="s">
        <v>390</v>
      </c>
      <c r="F16" s="47">
        <v>200</v>
      </c>
      <c r="G16" s="12">
        <f t="shared" si="0"/>
        <v>0.82257135806531223</v>
      </c>
      <c r="H16" s="66">
        <v>341.41</v>
      </c>
      <c r="I16" s="40" t="s">
        <v>291</v>
      </c>
      <c r="J16" s="66">
        <v>21830799.789999999</v>
      </c>
      <c r="K16" s="66">
        <v>21002398</v>
      </c>
    </row>
    <row r="17" spans="2:11" ht="30" x14ac:dyDescent="0.25">
      <c r="B17" s="16" t="s">
        <v>30</v>
      </c>
      <c r="C17" s="4" t="s">
        <v>180</v>
      </c>
      <c r="D17" s="21" t="s">
        <v>181</v>
      </c>
      <c r="E17" s="10" t="s">
        <v>390</v>
      </c>
      <c r="F17" s="47">
        <v>148</v>
      </c>
      <c r="G17" s="12">
        <f t="shared" si="0"/>
        <v>0.60870280496833096</v>
      </c>
      <c r="H17" s="66">
        <v>688.3</v>
      </c>
      <c r="I17" s="40" t="s">
        <v>291</v>
      </c>
      <c r="J17" s="66">
        <v>30745735.02</v>
      </c>
      <c r="K17" s="66">
        <v>34416081.100000001</v>
      </c>
    </row>
    <row r="18" spans="2:11" ht="30" x14ac:dyDescent="0.25">
      <c r="B18" s="16" t="s">
        <v>31</v>
      </c>
      <c r="C18" s="4" t="s">
        <v>180</v>
      </c>
      <c r="D18" s="21" t="s">
        <v>181</v>
      </c>
      <c r="E18" s="10" t="s">
        <v>390</v>
      </c>
      <c r="F18" s="67">
        <v>66</v>
      </c>
      <c r="G18" s="12">
        <f t="shared" si="0"/>
        <v>0.271448548161553</v>
      </c>
      <c r="H18" s="65">
        <v>0</v>
      </c>
      <c r="I18" s="40" t="s">
        <v>291</v>
      </c>
      <c r="J18" s="65">
        <f>11294834.44-348942.9</f>
        <v>10945891.539999999</v>
      </c>
      <c r="K18" s="65">
        <f>10890000+348942.9</f>
        <v>11238942.9</v>
      </c>
    </row>
    <row r="19" spans="2:11" ht="30" x14ac:dyDescent="0.25">
      <c r="B19" s="16" t="s">
        <v>32</v>
      </c>
      <c r="C19" s="4" t="s">
        <v>180</v>
      </c>
      <c r="D19" s="21" t="s">
        <v>181</v>
      </c>
      <c r="E19" s="10" t="s">
        <v>390</v>
      </c>
      <c r="F19" s="47">
        <v>114</v>
      </c>
      <c r="G19" s="12">
        <f t="shared" si="0"/>
        <v>0.46886567409722796</v>
      </c>
      <c r="H19" s="66">
        <v>139.09</v>
      </c>
      <c r="I19" s="40" t="s">
        <v>291</v>
      </c>
      <c r="J19" s="66">
        <v>13528057.029999999</v>
      </c>
      <c r="K19" s="66">
        <v>11104255</v>
      </c>
    </row>
    <row r="20" spans="2:11" ht="30" x14ac:dyDescent="0.25">
      <c r="B20" s="16" t="s">
        <v>33</v>
      </c>
      <c r="C20" s="4" t="s">
        <v>180</v>
      </c>
      <c r="D20" s="21" t="s">
        <v>181</v>
      </c>
      <c r="E20" s="10" t="s">
        <v>390</v>
      </c>
      <c r="F20" s="47">
        <v>133</v>
      </c>
      <c r="G20" s="12">
        <f t="shared" si="0"/>
        <v>0.54700995311343259</v>
      </c>
      <c r="H20" s="66">
        <v>394.59</v>
      </c>
      <c r="I20" s="40" t="s">
        <v>291</v>
      </c>
      <c r="J20" s="66">
        <v>15932012.199999999</v>
      </c>
      <c r="K20" s="66">
        <v>11607930.689999999</v>
      </c>
    </row>
    <row r="21" spans="2:11" ht="30" x14ac:dyDescent="0.25">
      <c r="B21" s="16" t="s">
        <v>34</v>
      </c>
      <c r="C21" s="4" t="s">
        <v>180</v>
      </c>
      <c r="D21" s="21" t="s">
        <v>181</v>
      </c>
      <c r="E21" s="10" t="s">
        <v>390</v>
      </c>
      <c r="F21" s="67">
        <v>88</v>
      </c>
      <c r="G21" s="12">
        <f t="shared" si="0"/>
        <v>0.36193139754873732</v>
      </c>
      <c r="H21" s="65">
        <v>0</v>
      </c>
      <c r="I21" s="40" t="s">
        <v>291</v>
      </c>
      <c r="J21" s="65">
        <v>9969381.8599999994</v>
      </c>
      <c r="K21" s="65">
        <v>5988000</v>
      </c>
    </row>
    <row r="22" spans="2:11" ht="30" x14ac:dyDescent="0.25">
      <c r="B22" s="16" t="s">
        <v>35</v>
      </c>
      <c r="C22" s="4" t="s">
        <v>180</v>
      </c>
      <c r="D22" s="21" t="s">
        <v>181</v>
      </c>
      <c r="E22" s="10" t="s">
        <v>390</v>
      </c>
      <c r="F22" s="47">
        <v>110</v>
      </c>
      <c r="G22" s="12">
        <f t="shared" si="0"/>
        <v>0.45241424693592164</v>
      </c>
      <c r="H22" s="66">
        <v>88.89</v>
      </c>
      <c r="I22" s="40" t="s">
        <v>291</v>
      </c>
      <c r="J22" s="66">
        <v>15134131.01</v>
      </c>
      <c r="K22" s="66">
        <v>9615911.5299999993</v>
      </c>
    </row>
    <row r="23" spans="2:11" ht="30" x14ac:dyDescent="0.25">
      <c r="B23" s="16" t="s">
        <v>36</v>
      </c>
      <c r="C23" s="4" t="s">
        <v>180</v>
      </c>
      <c r="D23" s="21" t="s">
        <v>181</v>
      </c>
      <c r="E23" s="10" t="s">
        <v>390</v>
      </c>
      <c r="F23" s="47">
        <v>137</v>
      </c>
      <c r="G23" s="12">
        <f t="shared" si="0"/>
        <v>0.56346138027473891</v>
      </c>
      <c r="H23" s="65">
        <v>0</v>
      </c>
      <c r="I23" s="40" t="s">
        <v>291</v>
      </c>
      <c r="J23" s="66">
        <v>15771005.51</v>
      </c>
      <c r="K23" s="66">
        <v>10573726.029999999</v>
      </c>
    </row>
    <row r="24" spans="2:11" ht="30" x14ac:dyDescent="0.25">
      <c r="B24" s="16" t="s">
        <v>37</v>
      </c>
      <c r="C24" s="4" t="s">
        <v>180</v>
      </c>
      <c r="D24" s="21" t="s">
        <v>181</v>
      </c>
      <c r="E24" s="10" t="s">
        <v>390</v>
      </c>
      <c r="F24" s="47">
        <v>30</v>
      </c>
      <c r="G24" s="12">
        <f t="shared" si="0"/>
        <v>0.12338570370979682</v>
      </c>
      <c r="H24" s="66">
        <v>1430.69</v>
      </c>
      <c r="I24" s="40" t="s">
        <v>291</v>
      </c>
      <c r="J24" s="66">
        <v>4587477.74</v>
      </c>
      <c r="K24" s="66">
        <v>2535668.2999999998</v>
      </c>
    </row>
    <row r="25" spans="2:11" ht="30" x14ac:dyDescent="0.25">
      <c r="B25" s="16" t="s">
        <v>38</v>
      </c>
      <c r="C25" s="4" t="s">
        <v>180</v>
      </c>
      <c r="D25" s="21" t="s">
        <v>181</v>
      </c>
      <c r="E25" s="10" t="s">
        <v>390</v>
      </c>
      <c r="F25" s="47">
        <v>203</v>
      </c>
      <c r="G25" s="12">
        <f t="shared" si="0"/>
        <v>0.83490992843629186</v>
      </c>
      <c r="H25" s="66">
        <f>5317.88+719.51</f>
        <v>6037.39</v>
      </c>
      <c r="I25" s="40" t="s">
        <v>291</v>
      </c>
      <c r="J25" s="66">
        <f>24458958.51+3730528.34</f>
        <v>28189486.850000001</v>
      </c>
      <c r="K25" s="66">
        <f>30902346.09+3068326.72</f>
        <v>33970672.810000002</v>
      </c>
    </row>
    <row r="26" spans="2:11" ht="30" x14ac:dyDescent="0.25">
      <c r="B26" s="16" t="s">
        <v>39</v>
      </c>
      <c r="C26" s="4" t="s">
        <v>180</v>
      </c>
      <c r="D26" s="21" t="s">
        <v>181</v>
      </c>
      <c r="E26" s="10" t="s">
        <v>390</v>
      </c>
      <c r="F26" s="67">
        <v>202</v>
      </c>
      <c r="G26" s="12">
        <f t="shared" si="0"/>
        <v>0.83079707164596539</v>
      </c>
      <c r="H26" s="65">
        <v>687.01</v>
      </c>
      <c r="I26" s="40" t="s">
        <v>291</v>
      </c>
      <c r="J26" s="65">
        <f>22829741.89-782734.44</f>
        <v>22047007.449999999</v>
      </c>
      <c r="K26" s="65">
        <f>25609000+782734.44</f>
        <v>26391734.440000001</v>
      </c>
    </row>
    <row r="27" spans="2:11" ht="30" x14ac:dyDescent="0.25">
      <c r="B27" s="16" t="s">
        <v>40</v>
      </c>
      <c r="C27" s="4" t="s">
        <v>180</v>
      </c>
      <c r="D27" s="21" t="s">
        <v>181</v>
      </c>
      <c r="E27" s="10" t="s">
        <v>390</v>
      </c>
      <c r="F27" s="67">
        <v>74</v>
      </c>
      <c r="G27" s="12">
        <f t="shared" si="0"/>
        <v>0.30435140248416548</v>
      </c>
      <c r="H27" s="65">
        <v>0</v>
      </c>
      <c r="I27" s="40" t="s">
        <v>291</v>
      </c>
      <c r="J27" s="65">
        <v>9939982.5199999996</v>
      </c>
      <c r="K27" s="65">
        <v>5922000</v>
      </c>
    </row>
    <row r="28" spans="2:11" ht="30" x14ac:dyDescent="0.25">
      <c r="B28" s="16" t="s">
        <v>41</v>
      </c>
      <c r="C28" s="4" t="s">
        <v>180</v>
      </c>
      <c r="D28" s="21" t="s">
        <v>181</v>
      </c>
      <c r="E28" s="10" t="s">
        <v>390</v>
      </c>
      <c r="F28" s="47">
        <v>199</v>
      </c>
      <c r="G28" s="12">
        <f t="shared" si="0"/>
        <v>0.81845850127498565</v>
      </c>
      <c r="H28" s="66">
        <v>38.840000000000003</v>
      </c>
      <c r="I28" s="40" t="s">
        <v>291</v>
      </c>
      <c r="J28" s="66">
        <v>25494793.309999999</v>
      </c>
      <c r="K28" s="66">
        <v>23689831.27</v>
      </c>
    </row>
    <row r="29" spans="2:11" ht="30" x14ac:dyDescent="0.25">
      <c r="B29" s="16" t="s">
        <v>42</v>
      </c>
      <c r="C29" s="4" t="s">
        <v>180</v>
      </c>
      <c r="D29" s="21" t="s">
        <v>181</v>
      </c>
      <c r="E29" s="10" t="s">
        <v>390</v>
      </c>
      <c r="F29" s="47">
        <v>197</v>
      </c>
      <c r="G29" s="12">
        <f t="shared" si="0"/>
        <v>0.81023278769433249</v>
      </c>
      <c r="H29" s="66">
        <v>274.45999999999998</v>
      </c>
      <c r="I29" s="40" t="s">
        <v>291</v>
      </c>
      <c r="J29" s="66">
        <v>22369752.18</v>
      </c>
      <c r="K29" s="66">
        <v>23950285.73</v>
      </c>
    </row>
    <row r="30" spans="2:11" ht="30" x14ac:dyDescent="0.25">
      <c r="B30" s="16" t="s">
        <v>43</v>
      </c>
      <c r="C30" s="4" t="s">
        <v>180</v>
      </c>
      <c r="D30" s="21" t="s">
        <v>181</v>
      </c>
      <c r="E30" s="10" t="s">
        <v>390</v>
      </c>
      <c r="F30" s="47">
        <v>81</v>
      </c>
      <c r="G30" s="12">
        <f t="shared" si="0"/>
        <v>0.33314140001645143</v>
      </c>
      <c r="H30" s="66">
        <v>838.55</v>
      </c>
      <c r="I30" s="40" t="s">
        <v>291</v>
      </c>
      <c r="J30" s="66">
        <v>14514630.949999999</v>
      </c>
      <c r="K30" s="66">
        <v>10681000</v>
      </c>
    </row>
    <row r="31" spans="2:11" ht="30" x14ac:dyDescent="0.25">
      <c r="B31" s="16" t="s">
        <v>44</v>
      </c>
      <c r="C31" s="4" t="s">
        <v>180</v>
      </c>
      <c r="D31" s="21" t="s">
        <v>181</v>
      </c>
      <c r="E31" s="10" t="s">
        <v>390</v>
      </c>
      <c r="F31" s="47">
        <v>0</v>
      </c>
      <c r="G31" s="12">
        <f t="shared" si="0"/>
        <v>0</v>
      </c>
      <c r="H31" s="66">
        <v>0</v>
      </c>
      <c r="I31" s="40" t="s">
        <v>291</v>
      </c>
      <c r="J31" s="66">
        <v>0</v>
      </c>
      <c r="K31" s="66">
        <v>0</v>
      </c>
    </row>
    <row r="32" spans="2:11" ht="30" x14ac:dyDescent="0.25">
      <c r="B32" s="16" t="s">
        <v>45</v>
      </c>
      <c r="C32" s="4" t="s">
        <v>180</v>
      </c>
      <c r="D32" s="21" t="s">
        <v>181</v>
      </c>
      <c r="E32" s="10" t="s">
        <v>390</v>
      </c>
      <c r="F32" s="47">
        <v>121</v>
      </c>
      <c r="G32" s="12">
        <f t="shared" si="0"/>
        <v>0.49765567162951385</v>
      </c>
      <c r="H32" s="66">
        <v>26.98</v>
      </c>
      <c r="I32" s="40" t="s">
        <v>291</v>
      </c>
      <c r="J32" s="66">
        <v>18911435.579999998</v>
      </c>
      <c r="K32" s="66">
        <v>15715526</v>
      </c>
    </row>
    <row r="33" spans="2:11" ht="30" x14ac:dyDescent="0.25">
      <c r="B33" s="16" t="s">
        <v>46</v>
      </c>
      <c r="C33" s="4" t="s">
        <v>180</v>
      </c>
      <c r="D33" s="21" t="s">
        <v>181</v>
      </c>
      <c r="E33" s="10" t="s">
        <v>390</v>
      </c>
      <c r="F33" s="67">
        <v>114</v>
      </c>
      <c r="G33" s="12">
        <f t="shared" si="0"/>
        <v>0.46886567409722796</v>
      </c>
      <c r="H33" s="65">
        <v>227.2</v>
      </c>
      <c r="I33" s="40" t="s">
        <v>291</v>
      </c>
      <c r="J33" s="65">
        <v>10954256.34</v>
      </c>
      <c r="K33" s="65">
        <v>8225000</v>
      </c>
    </row>
    <row r="34" spans="2:11" ht="30" x14ac:dyDescent="0.25">
      <c r="B34" s="16" t="s">
        <v>47</v>
      </c>
      <c r="C34" s="4" t="s">
        <v>180</v>
      </c>
      <c r="D34" s="21" t="s">
        <v>181</v>
      </c>
      <c r="E34" s="10" t="s">
        <v>390</v>
      </c>
      <c r="F34" s="47">
        <v>140</v>
      </c>
      <c r="G34" s="12">
        <f t="shared" si="0"/>
        <v>0.57579995064571854</v>
      </c>
      <c r="H34" s="66">
        <v>3132.5</v>
      </c>
      <c r="I34" s="40" t="s">
        <v>291</v>
      </c>
      <c r="J34" s="66">
        <v>13673090.41</v>
      </c>
      <c r="K34" s="66">
        <v>14722245.4</v>
      </c>
    </row>
    <row r="35" spans="2:11" ht="30" x14ac:dyDescent="0.25">
      <c r="B35" s="16" t="s">
        <v>48</v>
      </c>
      <c r="C35" s="4" t="s">
        <v>180</v>
      </c>
      <c r="D35" s="21" t="s">
        <v>181</v>
      </c>
      <c r="E35" s="10" t="s">
        <v>390</v>
      </c>
      <c r="F35" s="67">
        <v>94</v>
      </c>
      <c r="G35" s="12">
        <f t="shared" si="0"/>
        <v>0.38660853829069669</v>
      </c>
      <c r="H35" s="65">
        <v>0</v>
      </c>
      <c r="I35" s="40" t="s">
        <v>291</v>
      </c>
      <c r="J35" s="65">
        <v>13130218.630000001</v>
      </c>
      <c r="K35" s="65">
        <v>6570000</v>
      </c>
    </row>
    <row r="36" spans="2:11" ht="30" x14ac:dyDescent="0.25">
      <c r="B36" s="16" t="s">
        <v>49</v>
      </c>
      <c r="C36" s="4" t="s">
        <v>180</v>
      </c>
      <c r="D36" s="21" t="s">
        <v>181</v>
      </c>
      <c r="E36" s="10" t="s">
        <v>390</v>
      </c>
      <c r="F36" s="67">
        <v>0</v>
      </c>
      <c r="G36" s="12">
        <f t="shared" si="0"/>
        <v>0</v>
      </c>
      <c r="H36" s="65">
        <v>0</v>
      </c>
      <c r="I36" s="40" t="s">
        <v>291</v>
      </c>
      <c r="J36" s="65">
        <v>4540812.4000000004</v>
      </c>
      <c r="K36" s="65">
        <v>0</v>
      </c>
    </row>
    <row r="37" spans="2:11" ht="30" x14ac:dyDescent="0.25">
      <c r="B37" s="16" t="s">
        <v>50</v>
      </c>
      <c r="C37" s="4" t="s">
        <v>180</v>
      </c>
      <c r="D37" s="21" t="s">
        <v>181</v>
      </c>
      <c r="E37" s="10" t="s">
        <v>390</v>
      </c>
      <c r="F37" s="67">
        <v>270</v>
      </c>
      <c r="G37" s="12">
        <f t="shared" si="0"/>
        <v>1.1104713333881715</v>
      </c>
      <c r="H37" s="65">
        <v>0</v>
      </c>
      <c r="I37" s="40" t="s">
        <v>291</v>
      </c>
      <c r="J37" s="65">
        <f>28108681.69-258043.5</f>
        <v>27850638.190000001</v>
      </c>
      <c r="K37" s="65">
        <f>31699000+258043.5</f>
        <v>31957043.5</v>
      </c>
    </row>
    <row r="38" spans="2:11" ht="30" x14ac:dyDescent="0.25">
      <c r="B38" s="16" t="s">
        <v>51</v>
      </c>
      <c r="C38" s="4" t="s">
        <v>180</v>
      </c>
      <c r="D38" s="21" t="s">
        <v>181</v>
      </c>
      <c r="E38" s="10" t="s">
        <v>390</v>
      </c>
      <c r="F38" s="67">
        <v>155</v>
      </c>
      <c r="G38" s="12">
        <f t="shared" si="0"/>
        <v>0.63749280250061691</v>
      </c>
      <c r="H38" s="65">
        <v>50.01</v>
      </c>
      <c r="I38" s="40" t="s">
        <v>291</v>
      </c>
      <c r="J38" s="65">
        <f>12782882.22-316405.13</f>
        <v>12466477.09</v>
      </c>
      <c r="K38" s="65">
        <f>10996000+316405.13</f>
        <v>11312405.130000001</v>
      </c>
    </row>
    <row r="39" spans="2:11" ht="30" x14ac:dyDescent="0.25">
      <c r="B39" s="16" t="s">
        <v>52</v>
      </c>
      <c r="C39" s="4" t="s">
        <v>180</v>
      </c>
      <c r="D39" s="21" t="s">
        <v>181</v>
      </c>
      <c r="E39" s="10" t="s">
        <v>390</v>
      </c>
      <c r="F39" s="47">
        <v>128</v>
      </c>
      <c r="G39" s="12">
        <f t="shared" si="0"/>
        <v>0.5264456691617998</v>
      </c>
      <c r="H39" s="66">
        <v>31.06</v>
      </c>
      <c r="I39" s="40" t="s">
        <v>291</v>
      </c>
      <c r="J39" s="66">
        <v>13324235.08</v>
      </c>
      <c r="K39" s="66">
        <v>15830469.800000001</v>
      </c>
    </row>
    <row r="40" spans="2:11" ht="30" x14ac:dyDescent="0.25">
      <c r="B40" s="16" t="s">
        <v>53</v>
      </c>
      <c r="C40" s="4" t="s">
        <v>180</v>
      </c>
      <c r="D40" s="21" t="s">
        <v>181</v>
      </c>
      <c r="E40" s="10" t="s">
        <v>390</v>
      </c>
      <c r="F40" s="47">
        <v>110</v>
      </c>
      <c r="G40" s="12">
        <f t="shared" si="0"/>
        <v>0.45241424693592164</v>
      </c>
      <c r="H40" s="66">
        <v>91.32</v>
      </c>
      <c r="I40" s="40" t="s">
        <v>291</v>
      </c>
      <c r="J40" s="66">
        <v>13063558.140000001</v>
      </c>
      <c r="K40" s="66">
        <v>12541020.1</v>
      </c>
    </row>
    <row r="41" spans="2:11" ht="30" x14ac:dyDescent="0.25">
      <c r="B41" s="16" t="s">
        <v>54</v>
      </c>
      <c r="C41" s="4" t="s">
        <v>180</v>
      </c>
      <c r="D41" s="21" t="s">
        <v>181</v>
      </c>
      <c r="E41" s="10" t="s">
        <v>390</v>
      </c>
      <c r="F41" s="47">
        <v>80</v>
      </c>
      <c r="G41" s="12">
        <f t="shared" si="0"/>
        <v>0.32902854322612485</v>
      </c>
      <c r="H41" s="66">
        <v>123.24</v>
      </c>
      <c r="I41" s="40" t="s">
        <v>291</v>
      </c>
      <c r="J41" s="66">
        <v>11546253.5</v>
      </c>
      <c r="K41" s="66">
        <v>8322600</v>
      </c>
    </row>
    <row r="42" spans="2:11" ht="30" x14ac:dyDescent="0.25">
      <c r="B42" s="16" t="s">
        <v>55</v>
      </c>
      <c r="C42" s="4" t="s">
        <v>180</v>
      </c>
      <c r="D42" s="21" t="s">
        <v>181</v>
      </c>
      <c r="E42" s="10" t="s">
        <v>390</v>
      </c>
      <c r="F42" s="47">
        <v>86</v>
      </c>
      <c r="G42" s="12">
        <f t="shared" si="0"/>
        <v>0.35370568396808422</v>
      </c>
      <c r="H42" s="66">
        <v>212.12</v>
      </c>
      <c r="I42" s="40" t="s">
        <v>291</v>
      </c>
      <c r="J42" s="66">
        <v>12330213.83</v>
      </c>
      <c r="K42" s="66">
        <v>15230657.17</v>
      </c>
    </row>
    <row r="43" spans="2:11" ht="30" x14ac:dyDescent="0.25">
      <c r="B43" s="16" t="s">
        <v>56</v>
      </c>
      <c r="C43" s="4" t="s">
        <v>180</v>
      </c>
      <c r="D43" s="21" t="s">
        <v>181</v>
      </c>
      <c r="E43" s="10" t="s">
        <v>390</v>
      </c>
      <c r="F43" s="47">
        <v>129</v>
      </c>
      <c r="G43" s="12">
        <f t="shared" si="0"/>
        <v>0.53055852595212638</v>
      </c>
      <c r="H43" s="66">
        <v>191.75</v>
      </c>
      <c r="I43" s="40" t="s">
        <v>291</v>
      </c>
      <c r="J43" s="66">
        <v>12927714.75</v>
      </c>
      <c r="K43" s="66">
        <v>14537600</v>
      </c>
    </row>
    <row r="44" spans="2:11" ht="30" x14ac:dyDescent="0.25">
      <c r="B44" s="16" t="s">
        <v>57</v>
      </c>
      <c r="C44" s="4" t="s">
        <v>180</v>
      </c>
      <c r="D44" s="21" t="s">
        <v>181</v>
      </c>
      <c r="E44" s="10" t="s">
        <v>390</v>
      </c>
      <c r="F44" s="67">
        <v>100</v>
      </c>
      <c r="G44" s="12">
        <f t="shared" si="0"/>
        <v>0.41128567903265612</v>
      </c>
      <c r="H44" s="65">
        <v>25.86</v>
      </c>
      <c r="I44" s="40" t="s">
        <v>291</v>
      </c>
      <c r="J44" s="65">
        <f>9090203.72-273244.5</f>
        <v>8816959.2200000007</v>
      </c>
      <c r="K44" s="65">
        <f>6642000+273244.5</f>
        <v>6915244.5</v>
      </c>
    </row>
    <row r="45" spans="2:11" ht="30" x14ac:dyDescent="0.25">
      <c r="B45" s="16" t="s">
        <v>58</v>
      </c>
      <c r="C45" s="4" t="s">
        <v>180</v>
      </c>
      <c r="D45" s="21" t="s">
        <v>181</v>
      </c>
      <c r="E45" s="10" t="s">
        <v>390</v>
      </c>
      <c r="F45" s="47">
        <v>88</v>
      </c>
      <c r="G45" s="12">
        <f t="shared" si="0"/>
        <v>0.36193139754873732</v>
      </c>
      <c r="H45" s="66">
        <v>2068.3000000000002</v>
      </c>
      <c r="I45" s="40" t="s">
        <v>291</v>
      </c>
      <c r="J45" s="66">
        <v>14451212.32</v>
      </c>
      <c r="K45" s="66">
        <v>14735600</v>
      </c>
    </row>
    <row r="46" spans="2:11" ht="30" x14ac:dyDescent="0.25">
      <c r="B46" s="16" t="s">
        <v>59</v>
      </c>
      <c r="C46" s="4" t="s">
        <v>180</v>
      </c>
      <c r="D46" s="21" t="s">
        <v>181</v>
      </c>
      <c r="E46" s="10" t="s">
        <v>390</v>
      </c>
      <c r="F46" s="47">
        <v>160</v>
      </c>
      <c r="G46" s="12">
        <f t="shared" si="0"/>
        <v>0.6580570864522497</v>
      </c>
      <c r="H46" s="66">
        <v>316.60000000000002</v>
      </c>
      <c r="I46" s="40" t="s">
        <v>291</v>
      </c>
      <c r="J46" s="66">
        <v>15599595.300000001</v>
      </c>
      <c r="K46" s="66">
        <v>17281177.5</v>
      </c>
    </row>
    <row r="47" spans="2:11" ht="30" x14ac:dyDescent="0.25">
      <c r="B47" s="16" t="s">
        <v>60</v>
      </c>
      <c r="C47" s="4" t="s">
        <v>180</v>
      </c>
      <c r="D47" s="21" t="s">
        <v>181</v>
      </c>
      <c r="E47" s="10" t="s">
        <v>390</v>
      </c>
      <c r="F47" s="47">
        <v>81</v>
      </c>
      <c r="G47" s="12">
        <f t="shared" si="0"/>
        <v>0.33314140001645143</v>
      </c>
      <c r="H47" s="66">
        <v>719.95</v>
      </c>
      <c r="I47" s="40" t="s">
        <v>291</v>
      </c>
      <c r="J47" s="66">
        <v>17510012.34</v>
      </c>
      <c r="K47" s="66">
        <v>16685000</v>
      </c>
    </row>
    <row r="48" spans="2:11" ht="30" x14ac:dyDescent="0.25">
      <c r="B48" s="16" t="s">
        <v>61</v>
      </c>
      <c r="C48" s="4" t="s">
        <v>180</v>
      </c>
      <c r="D48" s="21" t="s">
        <v>181</v>
      </c>
      <c r="E48" s="10" t="s">
        <v>390</v>
      </c>
      <c r="F48" s="47">
        <v>159</v>
      </c>
      <c r="G48" s="12">
        <f t="shared" si="0"/>
        <v>0.65394422966192323</v>
      </c>
      <c r="H48" s="66">
        <v>4139.92</v>
      </c>
      <c r="I48" s="40" t="s">
        <v>291</v>
      </c>
      <c r="J48" s="66">
        <v>16193713.640000001</v>
      </c>
      <c r="K48" s="66">
        <v>17937566.719999999</v>
      </c>
    </row>
    <row r="49" spans="2:11" ht="30" x14ac:dyDescent="0.25">
      <c r="B49" s="16" t="s">
        <v>62</v>
      </c>
      <c r="C49" s="4" t="s">
        <v>180</v>
      </c>
      <c r="D49" s="21" t="s">
        <v>181</v>
      </c>
      <c r="E49" s="10" t="s">
        <v>390</v>
      </c>
      <c r="F49" s="47">
        <v>130</v>
      </c>
      <c r="G49" s="12">
        <f t="shared" si="0"/>
        <v>0.53467138274245296</v>
      </c>
      <c r="H49" s="66">
        <v>61.83</v>
      </c>
      <c r="I49" s="40" t="s">
        <v>291</v>
      </c>
      <c r="J49" s="66">
        <v>14629655.279999999</v>
      </c>
      <c r="K49" s="66">
        <v>14719294.92</v>
      </c>
    </row>
    <row r="50" spans="2:11" ht="30" x14ac:dyDescent="0.25">
      <c r="B50" s="16" t="s">
        <v>63</v>
      </c>
      <c r="C50" s="4" t="s">
        <v>180</v>
      </c>
      <c r="D50" s="21" t="s">
        <v>181</v>
      </c>
      <c r="E50" s="10" t="s">
        <v>390</v>
      </c>
      <c r="F50" s="47">
        <v>74</v>
      </c>
      <c r="G50" s="12">
        <f t="shared" si="0"/>
        <v>0.30435140248416548</v>
      </c>
      <c r="H50" s="66">
        <v>171.75</v>
      </c>
      <c r="I50" s="40" t="s">
        <v>291</v>
      </c>
      <c r="J50" s="66">
        <v>8796709.5800000001</v>
      </c>
      <c r="K50" s="66">
        <v>7463895</v>
      </c>
    </row>
    <row r="51" spans="2:11" ht="30" x14ac:dyDescent="0.25">
      <c r="B51" s="16" t="s">
        <v>64</v>
      </c>
      <c r="C51" s="4" t="s">
        <v>180</v>
      </c>
      <c r="D51" s="21" t="s">
        <v>181</v>
      </c>
      <c r="E51" s="10" t="s">
        <v>390</v>
      </c>
      <c r="F51" s="67">
        <v>182</v>
      </c>
      <c r="G51" s="12">
        <f t="shared" si="0"/>
        <v>0.74853993583943401</v>
      </c>
      <c r="H51" s="65">
        <v>104.57</v>
      </c>
      <c r="I51" s="40" t="s">
        <v>291</v>
      </c>
      <c r="J51" s="65">
        <v>19137350.690000001</v>
      </c>
      <c r="K51" s="65">
        <v>17881000</v>
      </c>
    </row>
    <row r="52" spans="2:11" ht="30" x14ac:dyDescent="0.25">
      <c r="B52" s="16" t="s">
        <v>65</v>
      </c>
      <c r="C52" s="4" t="s">
        <v>180</v>
      </c>
      <c r="D52" s="21" t="s">
        <v>181</v>
      </c>
      <c r="E52" s="10" t="s">
        <v>390</v>
      </c>
      <c r="F52" s="47">
        <v>116</v>
      </c>
      <c r="G52" s="12">
        <f t="shared" si="0"/>
        <v>0.47709138767788106</v>
      </c>
      <c r="H52" s="66">
        <v>97.1</v>
      </c>
      <c r="I52" s="40" t="s">
        <v>291</v>
      </c>
      <c r="J52" s="66">
        <v>13305030.609999999</v>
      </c>
      <c r="K52" s="66">
        <v>15088900</v>
      </c>
    </row>
    <row r="53" spans="2:11" ht="30" x14ac:dyDescent="0.25">
      <c r="B53" s="16" t="s">
        <v>66</v>
      </c>
      <c r="C53" s="4" t="s">
        <v>180</v>
      </c>
      <c r="D53" s="21" t="s">
        <v>181</v>
      </c>
      <c r="E53" s="10" t="s">
        <v>390</v>
      </c>
      <c r="F53" s="47">
        <v>167</v>
      </c>
      <c r="G53" s="12">
        <f t="shared" si="0"/>
        <v>0.68684708398453564</v>
      </c>
      <c r="H53" s="66">
        <v>3860.63</v>
      </c>
      <c r="I53" s="40" t="s">
        <v>291</v>
      </c>
      <c r="J53" s="66">
        <v>13677191.130000001</v>
      </c>
      <c r="K53" s="66">
        <v>13430163.130000001</v>
      </c>
    </row>
    <row r="54" spans="2:11" ht="30" x14ac:dyDescent="0.25">
      <c r="B54" s="16" t="s">
        <v>67</v>
      </c>
      <c r="C54" s="4" t="s">
        <v>180</v>
      </c>
      <c r="D54" s="21" t="s">
        <v>181</v>
      </c>
      <c r="E54" s="10" t="s">
        <v>390</v>
      </c>
      <c r="F54" s="47">
        <v>256</v>
      </c>
      <c r="G54" s="12">
        <f t="shared" si="0"/>
        <v>1.0528913383235996</v>
      </c>
      <c r="H54" s="66">
        <v>148.06</v>
      </c>
      <c r="I54" s="40" t="s">
        <v>291</v>
      </c>
      <c r="J54" s="66">
        <v>19729763.760000002</v>
      </c>
      <c r="K54" s="66">
        <v>18824360</v>
      </c>
    </row>
    <row r="55" spans="2:11" ht="30" x14ac:dyDescent="0.25">
      <c r="B55" s="16" t="s">
        <v>68</v>
      </c>
      <c r="C55" s="4" t="s">
        <v>180</v>
      </c>
      <c r="D55" s="21" t="s">
        <v>181</v>
      </c>
      <c r="E55" s="10" t="s">
        <v>390</v>
      </c>
      <c r="F55" s="47">
        <v>197</v>
      </c>
      <c r="G55" s="12">
        <f t="shared" si="0"/>
        <v>0.81023278769433249</v>
      </c>
      <c r="H55" s="66">
        <v>1.2</v>
      </c>
      <c r="I55" s="40" t="s">
        <v>291</v>
      </c>
      <c r="J55" s="66">
        <v>25335337.109999999</v>
      </c>
      <c r="K55" s="66">
        <v>23334561</v>
      </c>
    </row>
    <row r="56" spans="2:11" ht="30" x14ac:dyDescent="0.25">
      <c r="B56" s="16" t="s">
        <v>69</v>
      </c>
      <c r="C56" s="4" t="s">
        <v>180</v>
      </c>
      <c r="D56" s="21" t="s">
        <v>181</v>
      </c>
      <c r="E56" s="10" t="s">
        <v>390</v>
      </c>
      <c r="F56" s="47">
        <v>248</v>
      </c>
      <c r="G56" s="12">
        <f t="shared" si="0"/>
        <v>1.019988484000987</v>
      </c>
      <c r="H56" s="66">
        <v>980.65</v>
      </c>
      <c r="I56" s="40" t="s">
        <v>291</v>
      </c>
      <c r="J56" s="66">
        <v>23382597.66</v>
      </c>
      <c r="K56" s="66">
        <v>27843896.23</v>
      </c>
    </row>
    <row r="57" spans="2:11" ht="30" x14ac:dyDescent="0.25">
      <c r="B57" s="16" t="s">
        <v>70</v>
      </c>
      <c r="C57" s="4" t="s">
        <v>180</v>
      </c>
      <c r="D57" s="21" t="s">
        <v>181</v>
      </c>
      <c r="E57" s="10" t="s">
        <v>390</v>
      </c>
      <c r="F57" s="47">
        <v>275</v>
      </c>
      <c r="G57" s="12">
        <f t="shared" si="0"/>
        <v>1.1310356173398044</v>
      </c>
      <c r="H57" s="66">
        <v>72.16</v>
      </c>
      <c r="I57" s="40" t="s">
        <v>291</v>
      </c>
      <c r="J57" s="66">
        <v>25625017.93</v>
      </c>
      <c r="K57" s="66">
        <v>26884800</v>
      </c>
    </row>
    <row r="58" spans="2:11" ht="30" x14ac:dyDescent="0.25">
      <c r="B58" s="16" t="s">
        <v>71</v>
      </c>
      <c r="C58" s="4" t="s">
        <v>180</v>
      </c>
      <c r="D58" s="21" t="s">
        <v>181</v>
      </c>
      <c r="E58" s="10" t="s">
        <v>390</v>
      </c>
      <c r="F58" s="47">
        <v>84</v>
      </c>
      <c r="G58" s="12">
        <f t="shared" si="0"/>
        <v>0.34547997038743111</v>
      </c>
      <c r="H58" s="66">
        <v>0</v>
      </c>
      <c r="I58" s="40" t="s">
        <v>291</v>
      </c>
      <c r="J58" s="66">
        <v>12274610.6</v>
      </c>
      <c r="K58" s="66">
        <v>13588800</v>
      </c>
    </row>
    <row r="59" spans="2:11" ht="30" x14ac:dyDescent="0.25">
      <c r="B59" s="16" t="s">
        <v>72</v>
      </c>
      <c r="C59" s="4" t="s">
        <v>180</v>
      </c>
      <c r="D59" s="21" t="s">
        <v>181</v>
      </c>
      <c r="E59" s="10" t="s">
        <v>390</v>
      </c>
      <c r="F59" s="47">
        <v>159</v>
      </c>
      <c r="G59" s="12">
        <f t="shared" si="0"/>
        <v>0.65394422966192323</v>
      </c>
      <c r="H59" s="66">
        <v>260.41000000000003</v>
      </c>
      <c r="I59" s="40" t="s">
        <v>291</v>
      </c>
      <c r="J59" s="66">
        <v>25473832.879999999</v>
      </c>
      <c r="K59" s="66">
        <v>16490208</v>
      </c>
    </row>
    <row r="60" spans="2:11" ht="30" x14ac:dyDescent="0.25">
      <c r="B60" s="16" t="s">
        <v>73</v>
      </c>
      <c r="C60" s="4" t="s">
        <v>180</v>
      </c>
      <c r="D60" s="21" t="s">
        <v>181</v>
      </c>
      <c r="E60" s="10" t="s">
        <v>390</v>
      </c>
      <c r="F60" s="47">
        <v>218</v>
      </c>
      <c r="G60" s="12">
        <f t="shared" si="0"/>
        <v>0.89660278029119034</v>
      </c>
      <c r="H60" s="66">
        <v>199.43</v>
      </c>
      <c r="I60" s="40" t="s">
        <v>291</v>
      </c>
      <c r="J60" s="66">
        <v>22346405.32</v>
      </c>
      <c r="K60" s="66">
        <v>25259284.5</v>
      </c>
    </row>
    <row r="61" spans="2:11" ht="30" x14ac:dyDescent="0.25">
      <c r="B61" s="16" t="s">
        <v>74</v>
      </c>
      <c r="C61" s="4" t="s">
        <v>180</v>
      </c>
      <c r="D61" s="21" t="s">
        <v>181</v>
      </c>
      <c r="E61" s="10" t="s">
        <v>390</v>
      </c>
      <c r="F61" s="67">
        <v>104</v>
      </c>
      <c r="G61" s="12">
        <f t="shared" si="0"/>
        <v>0.42773710619396232</v>
      </c>
      <c r="H61" s="65">
        <v>160.94</v>
      </c>
      <c r="I61" s="40" t="s">
        <v>291</v>
      </c>
      <c r="J61" s="65">
        <v>10310929.109999999</v>
      </c>
      <c r="K61" s="65">
        <v>11043000</v>
      </c>
    </row>
    <row r="62" spans="2:11" ht="30" x14ac:dyDescent="0.25">
      <c r="B62" s="16" t="s">
        <v>75</v>
      </c>
      <c r="C62" s="4" t="s">
        <v>180</v>
      </c>
      <c r="D62" s="21" t="s">
        <v>181</v>
      </c>
      <c r="E62" s="10" t="s">
        <v>390</v>
      </c>
      <c r="F62" s="47">
        <v>140</v>
      </c>
      <c r="G62" s="12">
        <f t="shared" si="0"/>
        <v>0.57579995064571854</v>
      </c>
      <c r="H62" s="66">
        <v>3398.93</v>
      </c>
      <c r="I62" s="40" t="s">
        <v>291</v>
      </c>
      <c r="J62" s="66">
        <v>12268086.73</v>
      </c>
      <c r="K62" s="66">
        <v>9880000</v>
      </c>
    </row>
    <row r="63" spans="2:11" ht="30" x14ac:dyDescent="0.25">
      <c r="B63" s="16" t="s">
        <v>76</v>
      </c>
      <c r="C63" s="4" t="s">
        <v>180</v>
      </c>
      <c r="D63" s="21" t="s">
        <v>181</v>
      </c>
      <c r="E63" s="10" t="s">
        <v>390</v>
      </c>
      <c r="F63" s="47">
        <v>168</v>
      </c>
      <c r="G63" s="12">
        <f t="shared" si="0"/>
        <v>0.69095994077486222</v>
      </c>
      <c r="H63" s="66">
        <v>3703.12</v>
      </c>
      <c r="I63" s="40" t="s">
        <v>291</v>
      </c>
      <c r="J63" s="66">
        <v>20962685.199999999</v>
      </c>
      <c r="K63" s="66">
        <v>21766852.379999999</v>
      </c>
    </row>
    <row r="64" spans="2:11" ht="30" x14ac:dyDescent="0.25">
      <c r="B64" s="16" t="s">
        <v>77</v>
      </c>
      <c r="C64" s="4" t="s">
        <v>180</v>
      </c>
      <c r="D64" s="21" t="s">
        <v>181</v>
      </c>
      <c r="E64" s="10" t="s">
        <v>390</v>
      </c>
      <c r="F64" s="47">
        <v>176</v>
      </c>
      <c r="G64" s="12">
        <f t="shared" si="0"/>
        <v>0.72386279509747464</v>
      </c>
      <c r="H64" s="66">
        <v>121.92</v>
      </c>
      <c r="I64" s="40" t="s">
        <v>291</v>
      </c>
      <c r="J64" s="66">
        <v>21265085.09</v>
      </c>
      <c r="K64" s="66">
        <v>21391836</v>
      </c>
    </row>
    <row r="65" spans="2:11" ht="30" x14ac:dyDescent="0.25">
      <c r="B65" s="16" t="s">
        <v>78</v>
      </c>
      <c r="C65" s="4" t="s">
        <v>180</v>
      </c>
      <c r="D65" s="21" t="s">
        <v>181</v>
      </c>
      <c r="E65" s="10" t="s">
        <v>390</v>
      </c>
      <c r="F65" s="67">
        <v>156</v>
      </c>
      <c r="G65" s="12">
        <f t="shared" si="0"/>
        <v>0.64160565929094349</v>
      </c>
      <c r="H65" s="65">
        <v>259.7</v>
      </c>
      <c r="I65" s="40" t="s">
        <v>291</v>
      </c>
      <c r="J65" s="65">
        <f>13978968.6-108000</f>
        <v>13870968.6</v>
      </c>
      <c r="K65" s="65">
        <f>14916000+108000</f>
        <v>15024000</v>
      </c>
    </row>
    <row r="66" spans="2:11" ht="30" x14ac:dyDescent="0.25">
      <c r="B66" s="16" t="s">
        <v>79</v>
      </c>
      <c r="C66" s="4" t="s">
        <v>180</v>
      </c>
      <c r="D66" s="21" t="s">
        <v>181</v>
      </c>
      <c r="E66" s="10" t="s">
        <v>390</v>
      </c>
      <c r="F66" s="47">
        <v>169</v>
      </c>
      <c r="G66" s="12">
        <f t="shared" si="0"/>
        <v>0.6950727975651888</v>
      </c>
      <c r="H66" s="66">
        <v>3368.45</v>
      </c>
      <c r="I66" s="40" t="s">
        <v>291</v>
      </c>
      <c r="J66" s="66">
        <v>13325770.890000001</v>
      </c>
      <c r="K66" s="66">
        <v>13655524</v>
      </c>
    </row>
    <row r="67" spans="2:11" ht="30" x14ac:dyDescent="0.25">
      <c r="B67" s="16" t="s">
        <v>80</v>
      </c>
      <c r="C67" s="4" t="s">
        <v>180</v>
      </c>
      <c r="D67" s="21" t="s">
        <v>181</v>
      </c>
      <c r="E67" s="10" t="s">
        <v>390</v>
      </c>
      <c r="F67" s="47">
        <v>68</v>
      </c>
      <c r="G67" s="12">
        <f t="shared" si="0"/>
        <v>0.27967426174220616</v>
      </c>
      <c r="H67" s="66">
        <v>1385.84</v>
      </c>
      <c r="I67" s="40" t="s">
        <v>291</v>
      </c>
      <c r="J67" s="66">
        <v>7369214.9400000004</v>
      </c>
      <c r="K67" s="66">
        <v>4526023.4400000004</v>
      </c>
    </row>
    <row r="68" spans="2:11" ht="30" x14ac:dyDescent="0.25">
      <c r="B68" s="16" t="s">
        <v>81</v>
      </c>
      <c r="C68" s="4" t="s">
        <v>180</v>
      </c>
      <c r="D68" s="21" t="s">
        <v>181</v>
      </c>
      <c r="E68" s="10" t="s">
        <v>390</v>
      </c>
      <c r="F68" s="47">
        <v>93</v>
      </c>
      <c r="G68" s="12">
        <f t="shared" si="0"/>
        <v>0.38249568150037017</v>
      </c>
      <c r="H68" s="66">
        <v>3.34</v>
      </c>
      <c r="I68" s="40" t="s">
        <v>291</v>
      </c>
      <c r="J68" s="66">
        <v>15531989.189999999</v>
      </c>
      <c r="K68" s="66">
        <v>8385735</v>
      </c>
    </row>
    <row r="69" spans="2:11" ht="30" x14ac:dyDescent="0.25">
      <c r="B69" s="16" t="s">
        <v>82</v>
      </c>
      <c r="C69" s="4" t="s">
        <v>180</v>
      </c>
      <c r="D69" s="21" t="s">
        <v>181</v>
      </c>
      <c r="E69" s="10" t="s">
        <v>390</v>
      </c>
      <c r="F69" s="47">
        <v>364</v>
      </c>
      <c r="G69" s="12">
        <f t="shared" si="0"/>
        <v>1.497079871678868</v>
      </c>
      <c r="H69" s="66">
        <v>382.08</v>
      </c>
      <c r="I69" s="40" t="s">
        <v>291</v>
      </c>
      <c r="J69" s="66">
        <v>31433377.699999999</v>
      </c>
      <c r="K69" s="66">
        <v>29584276</v>
      </c>
    </row>
    <row r="70" spans="2:11" ht="30" x14ac:dyDescent="0.25">
      <c r="B70" s="16" t="s">
        <v>83</v>
      </c>
      <c r="C70" s="4" t="s">
        <v>180</v>
      </c>
      <c r="D70" s="21" t="s">
        <v>181</v>
      </c>
      <c r="E70" s="10" t="s">
        <v>390</v>
      </c>
      <c r="F70" s="47">
        <v>99</v>
      </c>
      <c r="G70" s="12">
        <f t="shared" si="0"/>
        <v>0.40717282224232954</v>
      </c>
      <c r="H70" s="66">
        <v>11.37</v>
      </c>
      <c r="I70" s="40" t="s">
        <v>291</v>
      </c>
      <c r="J70" s="66">
        <v>11786770.880000001</v>
      </c>
      <c r="K70" s="66">
        <v>10284000</v>
      </c>
    </row>
    <row r="71" spans="2:11" ht="30" x14ac:dyDescent="0.25">
      <c r="B71" s="16" t="s">
        <v>84</v>
      </c>
      <c r="C71" s="4" t="s">
        <v>180</v>
      </c>
      <c r="D71" s="21" t="s">
        <v>181</v>
      </c>
      <c r="E71" s="10" t="s">
        <v>390</v>
      </c>
      <c r="F71" s="67">
        <v>99</v>
      </c>
      <c r="G71" s="12">
        <f t="shared" ref="G71:G134" si="1">(F71/$F$166)*100</f>
        <v>0.40717282224232954</v>
      </c>
      <c r="H71" s="65">
        <v>74.63</v>
      </c>
      <c r="I71" s="40" t="s">
        <v>291</v>
      </c>
      <c r="J71" s="65">
        <f>10956473.72-524355.46</f>
        <v>10432118.260000002</v>
      </c>
      <c r="K71" s="65">
        <f>7257000+524355.46</f>
        <v>7781355.46</v>
      </c>
    </row>
    <row r="72" spans="2:11" ht="30" x14ac:dyDescent="0.25">
      <c r="B72" s="16" t="s">
        <v>85</v>
      </c>
      <c r="C72" s="4" t="s">
        <v>180</v>
      </c>
      <c r="D72" s="21" t="s">
        <v>181</v>
      </c>
      <c r="E72" s="10" t="s">
        <v>390</v>
      </c>
      <c r="F72" s="47">
        <v>161</v>
      </c>
      <c r="G72" s="12">
        <f t="shared" si="1"/>
        <v>0.66216994324257628</v>
      </c>
      <c r="H72" s="66">
        <v>3780.35</v>
      </c>
      <c r="I72" s="40" t="s">
        <v>291</v>
      </c>
      <c r="J72" s="66">
        <v>13576885.51</v>
      </c>
      <c r="K72" s="66">
        <v>11981000</v>
      </c>
    </row>
    <row r="73" spans="2:11" ht="30" x14ac:dyDescent="0.25">
      <c r="B73" s="16" t="s">
        <v>86</v>
      </c>
      <c r="C73" s="4" t="s">
        <v>180</v>
      </c>
      <c r="D73" s="21" t="s">
        <v>181</v>
      </c>
      <c r="E73" s="10" t="s">
        <v>390</v>
      </c>
      <c r="F73" s="67">
        <v>141</v>
      </c>
      <c r="G73" s="12">
        <f t="shared" si="1"/>
        <v>0.57991280743604512</v>
      </c>
      <c r="H73" s="65">
        <v>155.76</v>
      </c>
      <c r="I73" s="40" t="s">
        <v>291</v>
      </c>
      <c r="J73" s="65">
        <f>12575354.98-195660</f>
        <v>12379694.98</v>
      </c>
      <c r="K73" s="65">
        <f>13681000+195660</f>
        <v>13876660</v>
      </c>
    </row>
    <row r="74" spans="2:11" ht="30" x14ac:dyDescent="0.25">
      <c r="B74" s="16" t="s">
        <v>87</v>
      </c>
      <c r="C74" s="4" t="s">
        <v>180</v>
      </c>
      <c r="D74" s="21" t="s">
        <v>181</v>
      </c>
      <c r="E74" s="10" t="s">
        <v>390</v>
      </c>
      <c r="F74" s="47">
        <v>128</v>
      </c>
      <c r="G74" s="12">
        <f t="shared" si="1"/>
        <v>0.5264456691617998</v>
      </c>
      <c r="H74" s="66">
        <v>217.73</v>
      </c>
      <c r="I74" s="40" t="s">
        <v>291</v>
      </c>
      <c r="J74" s="66">
        <v>16763899.619999999</v>
      </c>
      <c r="K74" s="66">
        <v>16692200</v>
      </c>
    </row>
    <row r="75" spans="2:11" ht="30" x14ac:dyDescent="0.25">
      <c r="B75" s="16" t="s">
        <v>88</v>
      </c>
      <c r="C75" s="4" t="s">
        <v>180</v>
      </c>
      <c r="D75" s="21" t="s">
        <v>181</v>
      </c>
      <c r="E75" s="10" t="s">
        <v>390</v>
      </c>
      <c r="F75" s="47">
        <v>91</v>
      </c>
      <c r="G75" s="12">
        <f t="shared" si="1"/>
        <v>0.37426996791971701</v>
      </c>
      <c r="H75" s="66">
        <v>86.34</v>
      </c>
      <c r="I75" s="40" t="s">
        <v>291</v>
      </c>
      <c r="J75" s="66">
        <v>16319580.09</v>
      </c>
      <c r="K75" s="66">
        <v>11871996.35</v>
      </c>
    </row>
    <row r="76" spans="2:11" ht="30" x14ac:dyDescent="0.25">
      <c r="B76" s="16" t="s">
        <v>89</v>
      </c>
      <c r="C76" s="4" t="s">
        <v>180</v>
      </c>
      <c r="D76" s="21" t="s">
        <v>181</v>
      </c>
      <c r="E76" s="10" t="s">
        <v>390</v>
      </c>
      <c r="F76" s="47">
        <v>169</v>
      </c>
      <c r="G76" s="12">
        <f t="shared" si="1"/>
        <v>0.6950727975651888</v>
      </c>
      <c r="H76" s="66">
        <v>33.119999999999997</v>
      </c>
      <c r="I76" s="40" t="s">
        <v>291</v>
      </c>
      <c r="J76" s="66">
        <v>19875895.699999999</v>
      </c>
      <c r="K76" s="66">
        <v>22847851.489999998</v>
      </c>
    </row>
    <row r="77" spans="2:11" ht="30" x14ac:dyDescent="0.25">
      <c r="B77" s="16" t="s">
        <v>90</v>
      </c>
      <c r="C77" s="4" t="s">
        <v>180</v>
      </c>
      <c r="D77" s="21" t="s">
        <v>181</v>
      </c>
      <c r="E77" s="10" t="s">
        <v>390</v>
      </c>
      <c r="F77" s="47">
        <v>68</v>
      </c>
      <c r="G77" s="12">
        <f t="shared" si="1"/>
        <v>0.27967426174220616</v>
      </c>
      <c r="H77" s="66">
        <v>1787.9</v>
      </c>
      <c r="I77" s="40" t="s">
        <v>291</v>
      </c>
      <c r="J77" s="66">
        <v>11704620.57</v>
      </c>
      <c r="K77" s="66">
        <v>12215000</v>
      </c>
    </row>
    <row r="78" spans="2:11" ht="30" x14ac:dyDescent="0.25">
      <c r="B78" s="16" t="s">
        <v>91</v>
      </c>
      <c r="C78" s="4" t="s">
        <v>180</v>
      </c>
      <c r="D78" s="21" t="s">
        <v>181</v>
      </c>
      <c r="E78" s="10" t="s">
        <v>390</v>
      </c>
      <c r="F78" s="67">
        <v>144</v>
      </c>
      <c r="G78" s="12">
        <f t="shared" si="1"/>
        <v>0.59225137780702475</v>
      </c>
      <c r="H78" s="65">
        <v>40.83</v>
      </c>
      <c r="I78" s="40" t="s">
        <v>291</v>
      </c>
      <c r="J78" s="65">
        <v>11703358.390000001</v>
      </c>
      <c r="K78" s="65">
        <v>10127000</v>
      </c>
    </row>
    <row r="79" spans="2:11" ht="30" x14ac:dyDescent="0.25">
      <c r="B79" s="16" t="s">
        <v>92</v>
      </c>
      <c r="C79" s="4" t="s">
        <v>180</v>
      </c>
      <c r="D79" s="21" t="s">
        <v>181</v>
      </c>
      <c r="E79" s="10" t="s">
        <v>390</v>
      </c>
      <c r="F79" s="47">
        <v>106</v>
      </c>
      <c r="G79" s="12">
        <f t="shared" si="1"/>
        <v>0.43596281977461543</v>
      </c>
      <c r="H79" s="66">
        <v>0.27</v>
      </c>
      <c r="I79" s="40" t="s">
        <v>291</v>
      </c>
      <c r="J79" s="66">
        <v>10452777.1</v>
      </c>
      <c r="K79" s="66">
        <v>8319671</v>
      </c>
    </row>
    <row r="80" spans="2:11" ht="30" x14ac:dyDescent="0.25">
      <c r="B80" s="16" t="s">
        <v>93</v>
      </c>
      <c r="C80" s="4" t="s">
        <v>180</v>
      </c>
      <c r="D80" s="21" t="s">
        <v>181</v>
      </c>
      <c r="E80" s="10" t="s">
        <v>390</v>
      </c>
      <c r="F80" s="47">
        <v>150</v>
      </c>
      <c r="G80" s="12">
        <f t="shared" si="1"/>
        <v>0.61692851854898412</v>
      </c>
      <c r="H80" s="66">
        <v>150.41999999999999</v>
      </c>
      <c r="I80" s="40" t="s">
        <v>291</v>
      </c>
      <c r="J80" s="66">
        <v>13356446.59</v>
      </c>
      <c r="K80" s="66">
        <v>14465000</v>
      </c>
    </row>
    <row r="81" spans="2:11" ht="30" x14ac:dyDescent="0.25">
      <c r="B81" s="16" t="s">
        <v>94</v>
      </c>
      <c r="C81" s="4" t="s">
        <v>180</v>
      </c>
      <c r="D81" s="21" t="s">
        <v>181</v>
      </c>
      <c r="E81" s="10" t="s">
        <v>390</v>
      </c>
      <c r="F81" s="47">
        <v>146</v>
      </c>
      <c r="G81" s="12">
        <f t="shared" si="1"/>
        <v>0.6004770913876778</v>
      </c>
      <c r="H81" s="66">
        <v>52.06</v>
      </c>
      <c r="I81" s="40" t="s">
        <v>291</v>
      </c>
      <c r="J81" s="66">
        <v>20223832.48</v>
      </c>
      <c r="K81" s="66">
        <v>22550359.829999998</v>
      </c>
    </row>
    <row r="82" spans="2:11" ht="30" x14ac:dyDescent="0.25">
      <c r="B82" s="16" t="s">
        <v>95</v>
      </c>
      <c r="C82" s="4" t="s">
        <v>180</v>
      </c>
      <c r="D82" s="21" t="s">
        <v>181</v>
      </c>
      <c r="E82" s="10" t="s">
        <v>390</v>
      </c>
      <c r="F82" s="47">
        <v>250</v>
      </c>
      <c r="G82" s="12">
        <f t="shared" si="1"/>
        <v>1.0282141975816401</v>
      </c>
      <c r="H82" s="66">
        <v>78.44</v>
      </c>
      <c r="I82" s="40" t="s">
        <v>291</v>
      </c>
      <c r="J82" s="66">
        <v>20894817.969999999</v>
      </c>
      <c r="K82" s="66">
        <v>28601900.969999999</v>
      </c>
    </row>
    <row r="83" spans="2:11" ht="30" x14ac:dyDescent="0.25">
      <c r="B83" s="16" t="s">
        <v>96</v>
      </c>
      <c r="C83" s="4" t="s">
        <v>180</v>
      </c>
      <c r="D83" s="21" t="s">
        <v>181</v>
      </c>
      <c r="E83" s="10" t="s">
        <v>390</v>
      </c>
      <c r="F83" s="67">
        <v>90</v>
      </c>
      <c r="G83" s="12">
        <f t="shared" si="1"/>
        <v>0.37015711112939048</v>
      </c>
      <c r="H83" s="65">
        <v>335.17</v>
      </c>
      <c r="I83" s="40" t="s">
        <v>291</v>
      </c>
      <c r="J83" s="65">
        <v>10954723.869999999</v>
      </c>
      <c r="K83" s="65">
        <v>9932000</v>
      </c>
    </row>
    <row r="84" spans="2:11" ht="30" x14ac:dyDescent="0.25">
      <c r="B84" s="16" t="s">
        <v>97</v>
      </c>
      <c r="C84" s="4" t="s">
        <v>180</v>
      </c>
      <c r="D84" s="21" t="s">
        <v>181</v>
      </c>
      <c r="E84" s="10" t="s">
        <v>390</v>
      </c>
      <c r="F84" s="47">
        <v>128</v>
      </c>
      <c r="G84" s="12">
        <f t="shared" si="1"/>
        <v>0.5264456691617998</v>
      </c>
      <c r="H84" s="66">
        <v>183.89</v>
      </c>
      <c r="I84" s="40" t="s">
        <v>291</v>
      </c>
      <c r="J84" s="66">
        <v>13984163.390000001</v>
      </c>
      <c r="K84" s="66">
        <v>18066442.710000001</v>
      </c>
    </row>
    <row r="85" spans="2:11" ht="30" x14ac:dyDescent="0.25">
      <c r="B85" s="16" t="s">
        <v>98</v>
      </c>
      <c r="C85" s="4" t="s">
        <v>180</v>
      </c>
      <c r="D85" s="21" t="s">
        <v>181</v>
      </c>
      <c r="E85" s="10" t="s">
        <v>390</v>
      </c>
      <c r="F85" s="47">
        <v>64</v>
      </c>
      <c r="G85" s="12">
        <f t="shared" si="1"/>
        <v>0.2632228345808999</v>
      </c>
      <c r="H85" s="66">
        <v>0</v>
      </c>
      <c r="I85" s="40" t="s">
        <v>291</v>
      </c>
      <c r="J85" s="66">
        <v>1265021.03</v>
      </c>
      <c r="K85" s="66">
        <v>782157.99</v>
      </c>
    </row>
    <row r="86" spans="2:11" ht="30" x14ac:dyDescent="0.25">
      <c r="B86" s="16" t="s">
        <v>99</v>
      </c>
      <c r="C86" s="4" t="s">
        <v>180</v>
      </c>
      <c r="D86" s="21" t="s">
        <v>181</v>
      </c>
      <c r="E86" s="10" t="s">
        <v>390</v>
      </c>
      <c r="F86" s="47">
        <v>121</v>
      </c>
      <c r="G86" s="12">
        <f t="shared" si="1"/>
        <v>0.49765567162951385</v>
      </c>
      <c r="H86" s="66">
        <v>409.07</v>
      </c>
      <c r="I86" s="40" t="s">
        <v>291</v>
      </c>
      <c r="J86" s="66">
        <v>26289400.099999994</v>
      </c>
      <c r="K86" s="66">
        <v>20299142.009999998</v>
      </c>
    </row>
    <row r="87" spans="2:11" ht="30" x14ac:dyDescent="0.25">
      <c r="B87" s="16" t="s">
        <v>100</v>
      </c>
      <c r="C87" s="4" t="s">
        <v>180</v>
      </c>
      <c r="D87" s="21" t="s">
        <v>181</v>
      </c>
      <c r="E87" s="10" t="s">
        <v>390</v>
      </c>
      <c r="F87" s="67">
        <v>114</v>
      </c>
      <c r="G87" s="12">
        <f t="shared" si="1"/>
        <v>0.46886567409722796</v>
      </c>
      <c r="H87" s="65">
        <v>297.69</v>
      </c>
      <c r="I87" s="40" t="s">
        <v>291</v>
      </c>
      <c r="J87" s="65">
        <f>14388205.47-496959.05</f>
        <v>13891246.42</v>
      </c>
      <c r="K87" s="65">
        <f>17094000+496959.05</f>
        <v>17590959.050000001</v>
      </c>
    </row>
    <row r="88" spans="2:11" ht="30" x14ac:dyDescent="0.25">
      <c r="B88" s="16" t="s">
        <v>101</v>
      </c>
      <c r="C88" s="4" t="s">
        <v>180</v>
      </c>
      <c r="D88" s="21" t="s">
        <v>181</v>
      </c>
      <c r="E88" s="10" t="s">
        <v>390</v>
      </c>
      <c r="F88" s="47">
        <v>229</v>
      </c>
      <c r="G88" s="12">
        <f t="shared" si="1"/>
        <v>0.9418442049847825</v>
      </c>
      <c r="H88" s="66">
        <v>209.94</v>
      </c>
      <c r="I88" s="40" t="s">
        <v>291</v>
      </c>
      <c r="J88" s="66">
        <v>21623404.73</v>
      </c>
      <c r="K88" s="66">
        <v>25080165</v>
      </c>
    </row>
    <row r="89" spans="2:11" ht="30" x14ac:dyDescent="0.25">
      <c r="B89" s="16" t="s">
        <v>102</v>
      </c>
      <c r="C89" s="4" t="s">
        <v>180</v>
      </c>
      <c r="D89" s="21" t="s">
        <v>181</v>
      </c>
      <c r="E89" s="10" t="s">
        <v>390</v>
      </c>
      <c r="F89" s="67">
        <v>157</v>
      </c>
      <c r="G89" s="12">
        <f t="shared" si="1"/>
        <v>0.64571851608127007</v>
      </c>
      <c r="H89" s="65">
        <v>35.74</v>
      </c>
      <c r="I89" s="40" t="s">
        <v>291</v>
      </c>
      <c r="J89" s="65">
        <f>13226154.63-240660.47</f>
        <v>12985494.16</v>
      </c>
      <c r="K89" s="65">
        <f>11635000+240660.47</f>
        <v>11875660.470000001</v>
      </c>
    </row>
    <row r="90" spans="2:11" ht="30" x14ac:dyDescent="0.25">
      <c r="B90" s="16" t="s">
        <v>103</v>
      </c>
      <c r="C90" s="4" t="s">
        <v>180</v>
      </c>
      <c r="D90" s="21" t="s">
        <v>181</v>
      </c>
      <c r="E90" s="10" t="s">
        <v>390</v>
      </c>
      <c r="F90" s="47">
        <v>124</v>
      </c>
      <c r="G90" s="12">
        <f t="shared" si="1"/>
        <v>0.50999424200049348</v>
      </c>
      <c r="H90" s="66">
        <v>352.32</v>
      </c>
      <c r="I90" s="40" t="s">
        <v>291</v>
      </c>
      <c r="J90" s="66">
        <v>17405883.800000001</v>
      </c>
      <c r="K90" s="66">
        <v>14001772.310000001</v>
      </c>
    </row>
    <row r="91" spans="2:11" ht="30" x14ac:dyDescent="0.25">
      <c r="B91" s="16" t="s">
        <v>104</v>
      </c>
      <c r="C91" s="4" t="s">
        <v>180</v>
      </c>
      <c r="D91" s="21" t="s">
        <v>181</v>
      </c>
      <c r="E91" s="10" t="s">
        <v>390</v>
      </c>
      <c r="F91" s="47">
        <v>106</v>
      </c>
      <c r="G91" s="12">
        <f t="shared" si="1"/>
        <v>0.43596281977461543</v>
      </c>
      <c r="H91" s="66">
        <v>68.52</v>
      </c>
      <c r="I91" s="40" t="s">
        <v>291</v>
      </c>
      <c r="J91" s="66">
        <v>13069443.769999998</v>
      </c>
      <c r="K91" s="66">
        <v>11071500</v>
      </c>
    </row>
    <row r="92" spans="2:11" ht="30" x14ac:dyDescent="0.25">
      <c r="B92" s="16" t="s">
        <v>105</v>
      </c>
      <c r="C92" s="4" t="s">
        <v>180</v>
      </c>
      <c r="D92" s="21" t="s">
        <v>181</v>
      </c>
      <c r="E92" s="10" t="s">
        <v>390</v>
      </c>
      <c r="F92" s="47">
        <v>95</v>
      </c>
      <c r="G92" s="12">
        <f t="shared" si="1"/>
        <v>0.39072139508102333</v>
      </c>
      <c r="H92" s="66">
        <v>216.2</v>
      </c>
      <c r="I92" s="40" t="s">
        <v>291</v>
      </c>
      <c r="J92" s="66">
        <v>12154685.580000002</v>
      </c>
      <c r="K92" s="66">
        <v>11143420.699999999</v>
      </c>
    </row>
    <row r="93" spans="2:11" ht="30" x14ac:dyDescent="0.25">
      <c r="B93" s="16" t="s">
        <v>106</v>
      </c>
      <c r="C93" s="4" t="s">
        <v>180</v>
      </c>
      <c r="D93" s="21" t="s">
        <v>181</v>
      </c>
      <c r="E93" s="10" t="s">
        <v>390</v>
      </c>
      <c r="F93" s="67">
        <v>73</v>
      </c>
      <c r="G93" s="12">
        <f t="shared" si="1"/>
        <v>0.3002385456938389</v>
      </c>
      <c r="H93" s="65">
        <v>226.17</v>
      </c>
      <c r="I93" s="40" t="s">
        <v>291</v>
      </c>
      <c r="J93" s="65">
        <v>10998165.140000001</v>
      </c>
      <c r="K93" s="65">
        <v>12115000</v>
      </c>
    </row>
    <row r="94" spans="2:11" ht="30" x14ac:dyDescent="0.25">
      <c r="B94" s="16" t="s">
        <v>107</v>
      </c>
      <c r="C94" s="4" t="s">
        <v>180</v>
      </c>
      <c r="D94" s="21" t="s">
        <v>181</v>
      </c>
      <c r="E94" s="10" t="s">
        <v>390</v>
      </c>
      <c r="F94" s="47">
        <v>77</v>
      </c>
      <c r="G94" s="12">
        <f t="shared" si="1"/>
        <v>0.31668997285514516</v>
      </c>
      <c r="H94" s="66">
        <v>341.55</v>
      </c>
      <c r="I94" s="40" t="s">
        <v>291</v>
      </c>
      <c r="J94" s="66">
        <v>10900254.470000001</v>
      </c>
      <c r="K94" s="66">
        <v>12916665.869999999</v>
      </c>
    </row>
    <row r="95" spans="2:11" ht="31.5" x14ac:dyDescent="0.25">
      <c r="B95" s="16" t="s">
        <v>108</v>
      </c>
      <c r="C95" s="4" t="s">
        <v>180</v>
      </c>
      <c r="D95" s="21" t="s">
        <v>181</v>
      </c>
      <c r="E95" s="10" t="s">
        <v>390</v>
      </c>
      <c r="F95" s="67">
        <v>131</v>
      </c>
      <c r="G95" s="12">
        <f t="shared" si="1"/>
        <v>0.53878423953277943</v>
      </c>
      <c r="H95" s="65">
        <v>237.31</v>
      </c>
      <c r="I95" s="40" t="s">
        <v>291</v>
      </c>
      <c r="J95" s="65">
        <v>10495836.73</v>
      </c>
      <c r="K95" s="65">
        <v>9586000</v>
      </c>
    </row>
    <row r="96" spans="2:11" ht="30" x14ac:dyDescent="0.25">
      <c r="B96" s="16" t="s">
        <v>109</v>
      </c>
      <c r="C96" s="4" t="s">
        <v>180</v>
      </c>
      <c r="D96" s="21" t="s">
        <v>181</v>
      </c>
      <c r="E96" s="10" t="s">
        <v>390</v>
      </c>
      <c r="F96" s="47">
        <v>149</v>
      </c>
      <c r="G96" s="12">
        <f t="shared" si="1"/>
        <v>0.61281566175865754</v>
      </c>
      <c r="H96" s="66"/>
      <c r="I96" s="40" t="s">
        <v>291</v>
      </c>
      <c r="J96" s="66">
        <v>13692860.620000005</v>
      </c>
      <c r="K96" s="66">
        <v>15877891.869999999</v>
      </c>
    </row>
    <row r="97" spans="2:11" ht="30" x14ac:dyDescent="0.25">
      <c r="B97" s="16" t="s">
        <v>110</v>
      </c>
      <c r="C97" s="4" t="s">
        <v>180</v>
      </c>
      <c r="D97" s="21" t="s">
        <v>181</v>
      </c>
      <c r="E97" s="10" t="s">
        <v>390</v>
      </c>
      <c r="F97" s="67">
        <v>98</v>
      </c>
      <c r="G97" s="12">
        <f t="shared" si="1"/>
        <v>0.40305996545200296</v>
      </c>
      <c r="H97" s="65">
        <v>143.69999999999999</v>
      </c>
      <c r="I97" s="40" t="s">
        <v>291</v>
      </c>
      <c r="J97" s="65">
        <f>9719048.83-212534.07</f>
        <v>9506514.7599999998</v>
      </c>
      <c r="K97" s="65">
        <f>6912000+212534.07</f>
        <v>7124534.0700000003</v>
      </c>
    </row>
    <row r="98" spans="2:11" ht="30" x14ac:dyDescent="0.25">
      <c r="B98" s="16" t="s">
        <v>111</v>
      </c>
      <c r="C98" s="4" t="s">
        <v>180</v>
      </c>
      <c r="D98" s="21" t="s">
        <v>181</v>
      </c>
      <c r="E98" s="10" t="s">
        <v>390</v>
      </c>
      <c r="F98" s="47">
        <v>204</v>
      </c>
      <c r="G98" s="12">
        <f t="shared" si="1"/>
        <v>0.83902278522661844</v>
      </c>
      <c r="H98" s="66">
        <v>148.43</v>
      </c>
      <c r="I98" s="40" t="s">
        <v>291</v>
      </c>
      <c r="J98" s="66">
        <v>23234346.330000002</v>
      </c>
      <c r="K98" s="66">
        <v>24685600</v>
      </c>
    </row>
    <row r="99" spans="2:11" ht="30" x14ac:dyDescent="0.25">
      <c r="B99" s="16" t="s">
        <v>112</v>
      </c>
      <c r="C99" s="4" t="s">
        <v>180</v>
      </c>
      <c r="D99" s="21" t="s">
        <v>181</v>
      </c>
      <c r="E99" s="10" t="s">
        <v>390</v>
      </c>
      <c r="F99" s="47">
        <v>97</v>
      </c>
      <c r="G99" s="12">
        <f t="shared" si="1"/>
        <v>0.39894710866167638</v>
      </c>
      <c r="H99" s="66">
        <v>124.44</v>
      </c>
      <c r="I99" s="40" t="s">
        <v>291</v>
      </c>
      <c r="J99" s="66">
        <v>9860262.9000000004</v>
      </c>
      <c r="K99" s="66">
        <v>6833302</v>
      </c>
    </row>
    <row r="100" spans="2:11" ht="30" x14ac:dyDescent="0.25">
      <c r="B100" s="16" t="s">
        <v>113</v>
      </c>
      <c r="C100" s="4" t="s">
        <v>180</v>
      </c>
      <c r="D100" s="21" t="s">
        <v>181</v>
      </c>
      <c r="E100" s="10" t="s">
        <v>390</v>
      </c>
      <c r="F100" s="47">
        <v>81</v>
      </c>
      <c r="G100" s="12">
        <f t="shared" si="1"/>
        <v>0.33314140001645143</v>
      </c>
      <c r="H100" s="66">
        <v>618.4</v>
      </c>
      <c r="I100" s="40" t="s">
        <v>291</v>
      </c>
      <c r="J100" s="66">
        <v>12616306.9</v>
      </c>
      <c r="K100" s="66">
        <v>11549936.859999999</v>
      </c>
    </row>
    <row r="101" spans="2:11" ht="30" x14ac:dyDescent="0.25">
      <c r="B101" s="16" t="s">
        <v>114</v>
      </c>
      <c r="C101" s="4" t="s">
        <v>180</v>
      </c>
      <c r="D101" s="21" t="s">
        <v>181</v>
      </c>
      <c r="E101" s="10" t="s">
        <v>390</v>
      </c>
      <c r="F101" s="67">
        <v>71</v>
      </c>
      <c r="G101" s="12">
        <f t="shared" si="1"/>
        <v>0.29201283211318585</v>
      </c>
      <c r="H101" s="65">
        <v>0</v>
      </c>
      <c r="I101" s="40" t="s">
        <v>291</v>
      </c>
      <c r="J101" s="65">
        <f>14984488.53-211327.04</f>
        <v>14773161.49</v>
      </c>
      <c r="K101" s="65">
        <f>16947000+211327.04</f>
        <v>17158327.039999999</v>
      </c>
    </row>
    <row r="102" spans="2:11" ht="30" x14ac:dyDescent="0.25">
      <c r="B102" s="16" t="s">
        <v>115</v>
      </c>
      <c r="C102" s="4" t="s">
        <v>180</v>
      </c>
      <c r="D102" s="21" t="s">
        <v>181</v>
      </c>
      <c r="E102" s="10" t="s">
        <v>390</v>
      </c>
      <c r="F102" s="47">
        <v>124</v>
      </c>
      <c r="G102" s="12">
        <f t="shared" si="1"/>
        <v>0.50999424200049348</v>
      </c>
      <c r="H102" s="66">
        <v>0</v>
      </c>
      <c r="I102" s="40" t="s">
        <v>291</v>
      </c>
      <c r="J102" s="66">
        <v>13962029.260000002</v>
      </c>
      <c r="K102" s="66">
        <v>13765400</v>
      </c>
    </row>
    <row r="103" spans="2:11" ht="30" x14ac:dyDescent="0.25">
      <c r="B103" s="16" t="s">
        <v>116</v>
      </c>
      <c r="C103" s="4" t="s">
        <v>180</v>
      </c>
      <c r="D103" s="21" t="s">
        <v>181</v>
      </c>
      <c r="E103" s="10" t="s">
        <v>390</v>
      </c>
      <c r="F103" s="47">
        <v>232</v>
      </c>
      <c r="G103" s="12">
        <f t="shared" si="1"/>
        <v>0.95418277535576213</v>
      </c>
      <c r="H103" s="66">
        <v>241.98</v>
      </c>
      <c r="I103" s="40" t="s">
        <v>291</v>
      </c>
      <c r="J103" s="66">
        <v>29972226.449999996</v>
      </c>
      <c r="K103" s="66">
        <v>35514800</v>
      </c>
    </row>
    <row r="104" spans="2:11" ht="30" x14ac:dyDescent="0.25">
      <c r="B104" s="16" t="s">
        <v>117</v>
      </c>
      <c r="C104" s="4" t="s">
        <v>180</v>
      </c>
      <c r="D104" s="21" t="s">
        <v>181</v>
      </c>
      <c r="E104" s="10" t="s">
        <v>390</v>
      </c>
      <c r="F104" s="67">
        <v>141</v>
      </c>
      <c r="G104" s="12">
        <f t="shared" si="1"/>
        <v>0.57991280743604512</v>
      </c>
      <c r="H104" s="65">
        <v>0</v>
      </c>
      <c r="I104" s="40" t="s">
        <v>291</v>
      </c>
      <c r="J104" s="65">
        <v>14816819.76</v>
      </c>
      <c r="K104" s="65">
        <v>13784000</v>
      </c>
    </row>
    <row r="105" spans="2:11" ht="30" x14ac:dyDescent="0.25">
      <c r="B105" s="16" t="s">
        <v>118</v>
      </c>
      <c r="C105" s="4" t="s">
        <v>180</v>
      </c>
      <c r="D105" s="21" t="s">
        <v>181</v>
      </c>
      <c r="E105" s="10" t="s">
        <v>390</v>
      </c>
      <c r="F105" s="47">
        <v>83</v>
      </c>
      <c r="G105" s="12">
        <f t="shared" si="1"/>
        <v>0.34136711359710459</v>
      </c>
      <c r="H105" s="66">
        <v>571.58000000000004</v>
      </c>
      <c r="I105" s="40" t="s">
        <v>291</v>
      </c>
      <c r="J105" s="66">
        <v>17195701.77</v>
      </c>
      <c r="K105" s="66">
        <v>15605000</v>
      </c>
    </row>
    <row r="106" spans="2:11" ht="30" x14ac:dyDescent="0.25">
      <c r="B106" s="16" t="s">
        <v>119</v>
      </c>
      <c r="C106" s="4" t="s">
        <v>180</v>
      </c>
      <c r="D106" s="21" t="s">
        <v>181</v>
      </c>
      <c r="E106" s="10" t="s">
        <v>390</v>
      </c>
      <c r="F106" s="47">
        <v>83</v>
      </c>
      <c r="G106" s="12">
        <f t="shared" si="1"/>
        <v>0.34136711359710459</v>
      </c>
      <c r="H106" s="66">
        <v>166.18</v>
      </c>
      <c r="I106" s="40" t="s">
        <v>291</v>
      </c>
      <c r="J106" s="66">
        <v>11750864.529999999</v>
      </c>
      <c r="K106" s="66">
        <v>14232653.800000001</v>
      </c>
    </row>
    <row r="107" spans="2:11" ht="30" x14ac:dyDescent="0.25">
      <c r="B107" s="16" t="s">
        <v>120</v>
      </c>
      <c r="C107" s="4" t="s">
        <v>180</v>
      </c>
      <c r="D107" s="21" t="s">
        <v>181</v>
      </c>
      <c r="E107" s="10" t="s">
        <v>390</v>
      </c>
      <c r="F107" s="47">
        <v>114</v>
      </c>
      <c r="G107" s="12">
        <f t="shared" si="1"/>
        <v>0.46886567409722796</v>
      </c>
      <c r="H107" s="66">
        <v>40.270000000000003</v>
      </c>
      <c r="I107" s="40" t="s">
        <v>291</v>
      </c>
      <c r="J107" s="66">
        <v>11491759.919999996</v>
      </c>
      <c r="K107" s="66">
        <v>10839000</v>
      </c>
    </row>
    <row r="108" spans="2:11" ht="30" x14ac:dyDescent="0.25">
      <c r="B108" s="16" t="s">
        <v>121</v>
      </c>
      <c r="C108" s="4" t="s">
        <v>180</v>
      </c>
      <c r="D108" s="21" t="s">
        <v>181</v>
      </c>
      <c r="E108" s="10" t="s">
        <v>390</v>
      </c>
      <c r="F108" s="47">
        <v>68</v>
      </c>
      <c r="G108" s="12">
        <f t="shared" si="1"/>
        <v>0.27967426174220616</v>
      </c>
      <c r="H108" s="66">
        <v>41.8</v>
      </c>
      <c r="I108" s="40" t="s">
        <v>291</v>
      </c>
      <c r="J108" s="66">
        <v>10205340.399999999</v>
      </c>
      <c r="K108" s="66">
        <v>10813800</v>
      </c>
    </row>
    <row r="109" spans="2:11" ht="30" x14ac:dyDescent="0.25">
      <c r="B109" s="16" t="s">
        <v>122</v>
      </c>
      <c r="C109" s="4" t="s">
        <v>180</v>
      </c>
      <c r="D109" s="21" t="s">
        <v>181</v>
      </c>
      <c r="E109" s="10" t="s">
        <v>390</v>
      </c>
      <c r="F109" s="67">
        <v>73</v>
      </c>
      <c r="G109" s="12">
        <f t="shared" si="1"/>
        <v>0.3002385456938389</v>
      </c>
      <c r="H109" s="65">
        <v>67.45</v>
      </c>
      <c r="I109" s="40" t="s">
        <v>291</v>
      </c>
      <c r="J109" s="65">
        <f>10161789.11-210023.17</f>
        <v>9951765.9399999995</v>
      </c>
      <c r="K109" s="65">
        <f>6716000+210023.17</f>
        <v>6926023.1699999999</v>
      </c>
    </row>
    <row r="110" spans="2:11" ht="30" x14ac:dyDescent="0.25">
      <c r="B110" s="16" t="s">
        <v>123</v>
      </c>
      <c r="C110" s="4" t="s">
        <v>180</v>
      </c>
      <c r="D110" s="21" t="s">
        <v>181</v>
      </c>
      <c r="E110" s="10" t="s">
        <v>390</v>
      </c>
      <c r="F110" s="47">
        <v>94</v>
      </c>
      <c r="G110" s="12">
        <f t="shared" si="1"/>
        <v>0.38660853829069669</v>
      </c>
      <c r="H110" s="66">
        <v>163.58000000000001</v>
      </c>
      <c r="I110" s="40" t="s">
        <v>291</v>
      </c>
      <c r="J110" s="66">
        <v>13749215.780000003</v>
      </c>
      <c r="K110" s="66">
        <v>12426800</v>
      </c>
    </row>
    <row r="111" spans="2:11" ht="30" x14ac:dyDescent="0.25">
      <c r="B111" s="16" t="s">
        <v>124</v>
      </c>
      <c r="C111" s="4" t="s">
        <v>180</v>
      </c>
      <c r="D111" s="21" t="s">
        <v>181</v>
      </c>
      <c r="E111" s="10" t="s">
        <v>390</v>
      </c>
      <c r="F111" s="67">
        <v>121</v>
      </c>
      <c r="G111" s="12">
        <f t="shared" si="1"/>
        <v>0.49765567162951385</v>
      </c>
      <c r="H111" s="65">
        <v>96.64</v>
      </c>
      <c r="I111" s="40" t="s">
        <v>291</v>
      </c>
      <c r="J111" s="65">
        <f>12488118.24-45000</f>
        <v>12443118.24</v>
      </c>
      <c r="K111" s="65">
        <f>9233000+45000</f>
        <v>9278000</v>
      </c>
    </row>
    <row r="112" spans="2:11" ht="30" x14ac:dyDescent="0.25">
      <c r="B112" s="16" t="s">
        <v>125</v>
      </c>
      <c r="C112" s="4" t="s">
        <v>180</v>
      </c>
      <c r="D112" s="21" t="s">
        <v>181</v>
      </c>
      <c r="E112" s="10" t="s">
        <v>390</v>
      </c>
      <c r="F112" s="47">
        <v>124</v>
      </c>
      <c r="G112" s="12">
        <f t="shared" si="1"/>
        <v>0.50999424200049348</v>
      </c>
      <c r="H112" s="66">
        <v>94.43</v>
      </c>
      <c r="I112" s="40" t="s">
        <v>291</v>
      </c>
      <c r="J112" s="66">
        <v>15026795.76</v>
      </c>
      <c r="K112" s="66">
        <v>12502546</v>
      </c>
    </row>
    <row r="113" spans="2:11" ht="30" x14ac:dyDescent="0.25">
      <c r="B113" s="16" t="s">
        <v>126</v>
      </c>
      <c r="C113" s="4" t="s">
        <v>180</v>
      </c>
      <c r="D113" s="21" t="s">
        <v>181</v>
      </c>
      <c r="E113" s="10" t="s">
        <v>390</v>
      </c>
      <c r="F113" s="47">
        <v>183</v>
      </c>
      <c r="G113" s="12">
        <f t="shared" si="1"/>
        <v>0.75265279262976059</v>
      </c>
      <c r="H113" s="66">
        <v>29.37</v>
      </c>
      <c r="I113" s="40" t="s">
        <v>291</v>
      </c>
      <c r="J113" s="66">
        <v>21213969.969999999</v>
      </c>
      <c r="K113" s="66">
        <v>19987400</v>
      </c>
    </row>
    <row r="114" spans="2:11" ht="30" x14ac:dyDescent="0.25">
      <c r="B114" s="16" t="s">
        <v>127</v>
      </c>
      <c r="C114" s="4" t="s">
        <v>180</v>
      </c>
      <c r="D114" s="21" t="s">
        <v>181</v>
      </c>
      <c r="E114" s="10" t="s">
        <v>390</v>
      </c>
      <c r="F114" s="67">
        <v>165</v>
      </c>
      <c r="G114" s="12">
        <f t="shared" si="1"/>
        <v>0.6786213704038826</v>
      </c>
      <c r="H114" s="65">
        <v>158.19999999999999</v>
      </c>
      <c r="I114" s="40" t="s">
        <v>291</v>
      </c>
      <c r="J114" s="65">
        <f>16710810.19-634201.06</f>
        <v>16076609.129999999</v>
      </c>
      <c r="K114" s="65">
        <f>18104000+634201.06</f>
        <v>18738201.059999999</v>
      </c>
    </row>
    <row r="115" spans="2:11" ht="30" x14ac:dyDescent="0.25">
      <c r="B115" s="16" t="s">
        <v>128</v>
      </c>
      <c r="C115" s="4" t="s">
        <v>180</v>
      </c>
      <c r="D115" s="21" t="s">
        <v>181</v>
      </c>
      <c r="E115" s="10" t="s">
        <v>390</v>
      </c>
      <c r="F115" s="47">
        <v>96</v>
      </c>
      <c r="G115" s="12">
        <f t="shared" si="1"/>
        <v>0.3948342518713498</v>
      </c>
      <c r="H115" s="66">
        <v>72.62</v>
      </c>
      <c r="I115" s="40" t="s">
        <v>291</v>
      </c>
      <c r="J115" s="66">
        <v>12960145.159999996</v>
      </c>
      <c r="K115" s="66">
        <v>12363600</v>
      </c>
    </row>
    <row r="116" spans="2:11" ht="30" x14ac:dyDescent="0.25">
      <c r="B116" s="16" t="s">
        <v>129</v>
      </c>
      <c r="C116" s="4" t="s">
        <v>180</v>
      </c>
      <c r="D116" s="21" t="s">
        <v>181</v>
      </c>
      <c r="E116" s="10" t="s">
        <v>390</v>
      </c>
      <c r="F116" s="67">
        <v>88</v>
      </c>
      <c r="G116" s="12">
        <f t="shared" si="1"/>
        <v>0.36193139754873732</v>
      </c>
      <c r="H116" s="65">
        <v>0</v>
      </c>
      <c r="I116" s="40" t="s">
        <v>291</v>
      </c>
      <c r="J116" s="65">
        <f>11224416.65-168884.32</f>
        <v>11055532.33</v>
      </c>
      <c r="K116" s="65">
        <f>10438000+168884.32</f>
        <v>10606884.32</v>
      </c>
    </row>
    <row r="117" spans="2:11" ht="30" x14ac:dyDescent="0.25">
      <c r="B117" s="16" t="s">
        <v>130</v>
      </c>
      <c r="C117" s="4" t="s">
        <v>180</v>
      </c>
      <c r="D117" s="21" t="s">
        <v>181</v>
      </c>
      <c r="E117" s="10" t="s">
        <v>390</v>
      </c>
      <c r="F117" s="47">
        <v>150</v>
      </c>
      <c r="G117" s="12">
        <f t="shared" si="1"/>
        <v>0.61692851854898412</v>
      </c>
      <c r="H117" s="66">
        <v>76.22</v>
      </c>
      <c r="I117" s="40" t="s">
        <v>291</v>
      </c>
      <c r="J117" s="66">
        <v>18990051.48</v>
      </c>
      <c r="K117" s="66">
        <v>16715445</v>
      </c>
    </row>
    <row r="118" spans="2:11" ht="30" x14ac:dyDescent="0.25">
      <c r="B118" s="16" t="s">
        <v>131</v>
      </c>
      <c r="C118" s="4" t="s">
        <v>180</v>
      </c>
      <c r="D118" s="21" t="s">
        <v>181</v>
      </c>
      <c r="E118" s="10" t="s">
        <v>390</v>
      </c>
      <c r="F118" s="47">
        <v>266</v>
      </c>
      <c r="G118" s="12">
        <f t="shared" si="1"/>
        <v>1.0940199062268652</v>
      </c>
      <c r="H118" s="66">
        <v>190.32</v>
      </c>
      <c r="I118" s="40" t="s">
        <v>291</v>
      </c>
      <c r="J118" s="66">
        <v>32325411.399999999</v>
      </c>
      <c r="K118" s="66">
        <v>32653177</v>
      </c>
    </row>
    <row r="119" spans="2:11" ht="30" x14ac:dyDescent="0.25">
      <c r="B119" s="16" t="s">
        <v>132</v>
      </c>
      <c r="C119" s="4" t="s">
        <v>180</v>
      </c>
      <c r="D119" s="21" t="s">
        <v>181</v>
      </c>
      <c r="E119" s="10" t="s">
        <v>390</v>
      </c>
      <c r="F119" s="47">
        <v>61</v>
      </c>
      <c r="G119" s="12">
        <f t="shared" si="1"/>
        <v>0.25088426420992022</v>
      </c>
      <c r="H119" s="66">
        <v>317.27999999999997</v>
      </c>
      <c r="I119" s="40" t="s">
        <v>291</v>
      </c>
      <c r="J119" s="66">
        <v>11160935.34</v>
      </c>
      <c r="K119" s="66">
        <v>6798999.9800000004</v>
      </c>
    </row>
    <row r="120" spans="2:11" ht="30" x14ac:dyDescent="0.25">
      <c r="B120" s="16" t="s">
        <v>133</v>
      </c>
      <c r="C120" s="4" t="s">
        <v>180</v>
      </c>
      <c r="D120" s="21" t="s">
        <v>181</v>
      </c>
      <c r="E120" s="10" t="s">
        <v>390</v>
      </c>
      <c r="F120" s="47">
        <v>96</v>
      </c>
      <c r="G120" s="12">
        <f t="shared" si="1"/>
        <v>0.3948342518713498</v>
      </c>
      <c r="H120" s="66">
        <v>11.18</v>
      </c>
      <c r="I120" s="40" t="s">
        <v>291</v>
      </c>
      <c r="J120" s="66">
        <v>11004590.810000001</v>
      </c>
      <c r="K120" s="66">
        <v>10360574</v>
      </c>
    </row>
    <row r="121" spans="2:11" ht="30" x14ac:dyDescent="0.25">
      <c r="B121" s="16" t="s">
        <v>134</v>
      </c>
      <c r="C121" s="4" t="s">
        <v>180</v>
      </c>
      <c r="D121" s="21" t="s">
        <v>181</v>
      </c>
      <c r="E121" s="10" t="s">
        <v>390</v>
      </c>
      <c r="F121" s="67">
        <v>70</v>
      </c>
      <c r="G121" s="12">
        <f t="shared" si="1"/>
        <v>0.28789997532285927</v>
      </c>
      <c r="H121" s="65">
        <v>68.56</v>
      </c>
      <c r="I121" s="40" t="s">
        <v>291</v>
      </c>
      <c r="J121" s="65">
        <f>11249292.56-192553.92</f>
        <v>11056738.640000001</v>
      </c>
      <c r="K121" s="65">
        <f>8803000+192553.92</f>
        <v>8995553.9199999999</v>
      </c>
    </row>
    <row r="122" spans="2:11" ht="30" x14ac:dyDescent="0.25">
      <c r="B122" s="16" t="s">
        <v>135</v>
      </c>
      <c r="C122" s="4" t="s">
        <v>180</v>
      </c>
      <c r="D122" s="21" t="s">
        <v>181</v>
      </c>
      <c r="E122" s="10" t="s">
        <v>390</v>
      </c>
      <c r="F122" s="67">
        <v>227</v>
      </c>
      <c r="G122" s="12">
        <f t="shared" si="1"/>
        <v>0.93361849140412934</v>
      </c>
      <c r="H122" s="65">
        <v>0</v>
      </c>
      <c r="I122" s="40" t="s">
        <v>291</v>
      </c>
      <c r="J122" s="65">
        <f>17135294.78-479512.35</f>
        <v>16655782.430000002</v>
      </c>
      <c r="K122" s="65">
        <f>16313000+479512.35</f>
        <v>16792512.350000001</v>
      </c>
    </row>
    <row r="123" spans="2:11" ht="30" x14ac:dyDescent="0.25">
      <c r="B123" s="16" t="s">
        <v>136</v>
      </c>
      <c r="C123" s="4" t="s">
        <v>180</v>
      </c>
      <c r="D123" s="21" t="s">
        <v>181</v>
      </c>
      <c r="E123" s="10" t="s">
        <v>390</v>
      </c>
      <c r="F123" s="47">
        <v>98</v>
      </c>
      <c r="G123" s="12">
        <f t="shared" si="1"/>
        <v>0.40305996545200296</v>
      </c>
      <c r="H123" s="66">
        <v>95.56</v>
      </c>
      <c r="I123" s="40" t="s">
        <v>291</v>
      </c>
      <c r="J123" s="66">
        <v>12018159.100000003</v>
      </c>
      <c r="K123" s="66">
        <v>12655000</v>
      </c>
    </row>
    <row r="124" spans="2:11" ht="30" x14ac:dyDescent="0.25">
      <c r="B124" s="16" t="s">
        <v>137</v>
      </c>
      <c r="C124" s="4" t="s">
        <v>180</v>
      </c>
      <c r="D124" s="21" t="s">
        <v>181</v>
      </c>
      <c r="E124" s="10" t="s">
        <v>390</v>
      </c>
      <c r="F124" s="47">
        <v>121</v>
      </c>
      <c r="G124" s="12">
        <f t="shared" si="1"/>
        <v>0.49765567162951385</v>
      </c>
      <c r="H124" s="66">
        <v>437.78</v>
      </c>
      <c r="I124" s="40" t="s">
        <v>291</v>
      </c>
      <c r="J124" s="66">
        <v>13273578.919999998</v>
      </c>
      <c r="K124" s="66">
        <v>13241339</v>
      </c>
    </row>
    <row r="125" spans="2:11" ht="30" x14ac:dyDescent="0.25">
      <c r="B125" s="16" t="s">
        <v>138</v>
      </c>
      <c r="C125" s="4" t="s">
        <v>180</v>
      </c>
      <c r="D125" s="21" t="s">
        <v>181</v>
      </c>
      <c r="E125" s="10" t="s">
        <v>390</v>
      </c>
      <c r="F125" s="47">
        <v>201</v>
      </c>
      <c r="G125" s="12">
        <f t="shared" si="1"/>
        <v>0.82668421485563881</v>
      </c>
      <c r="H125" s="66">
        <v>380.68</v>
      </c>
      <c r="I125" s="40" t="s">
        <v>291</v>
      </c>
      <c r="J125" s="66">
        <v>17298315.390000001</v>
      </c>
      <c r="K125" s="66">
        <v>19246300</v>
      </c>
    </row>
    <row r="126" spans="2:11" ht="30" x14ac:dyDescent="0.25">
      <c r="B126" s="16" t="s">
        <v>139</v>
      </c>
      <c r="C126" s="4" t="s">
        <v>180</v>
      </c>
      <c r="D126" s="21" t="s">
        <v>181</v>
      </c>
      <c r="E126" s="10" t="s">
        <v>390</v>
      </c>
      <c r="F126" s="47">
        <v>53</v>
      </c>
      <c r="G126" s="12">
        <f t="shared" si="1"/>
        <v>0.21798140988730771</v>
      </c>
      <c r="H126" s="66">
        <v>309.42</v>
      </c>
      <c r="I126" s="40" t="s">
        <v>291</v>
      </c>
      <c r="J126" s="66">
        <v>12211111.59</v>
      </c>
      <c r="K126" s="66">
        <v>12582000</v>
      </c>
    </row>
    <row r="127" spans="2:11" ht="30" x14ac:dyDescent="0.25">
      <c r="B127" s="16" t="s">
        <v>140</v>
      </c>
      <c r="C127" s="4" t="s">
        <v>180</v>
      </c>
      <c r="D127" s="21" t="s">
        <v>181</v>
      </c>
      <c r="E127" s="10" t="s">
        <v>390</v>
      </c>
      <c r="F127" s="47">
        <v>152</v>
      </c>
      <c r="G127" s="12">
        <f t="shared" si="1"/>
        <v>0.62515423212963728</v>
      </c>
      <c r="H127" s="66">
        <v>90.38</v>
      </c>
      <c r="I127" s="40" t="s">
        <v>291</v>
      </c>
      <c r="J127" s="66">
        <v>20505367.68</v>
      </c>
      <c r="K127" s="66">
        <v>17948414</v>
      </c>
    </row>
    <row r="128" spans="2:11" ht="31.5" x14ac:dyDescent="0.25">
      <c r="B128" s="16" t="s">
        <v>141</v>
      </c>
      <c r="C128" s="4" t="s">
        <v>180</v>
      </c>
      <c r="D128" s="21" t="s">
        <v>181</v>
      </c>
      <c r="E128" s="10" t="s">
        <v>390</v>
      </c>
      <c r="F128" s="67">
        <v>276</v>
      </c>
      <c r="G128" s="12">
        <f t="shared" si="1"/>
        <v>1.1351484741301308</v>
      </c>
      <c r="H128" s="65">
        <v>952.7</v>
      </c>
      <c r="I128" s="40" t="s">
        <v>291</v>
      </c>
      <c r="J128" s="65">
        <f>23185545.03-391640.04</f>
        <v>22793904.990000002</v>
      </c>
      <c r="K128" s="65">
        <f>29247000+391640.04</f>
        <v>29638640.039999999</v>
      </c>
    </row>
    <row r="129" spans="2:11" ht="30" x14ac:dyDescent="0.25">
      <c r="B129" s="16" t="s">
        <v>142</v>
      </c>
      <c r="C129" s="4" t="s">
        <v>180</v>
      </c>
      <c r="D129" s="21" t="s">
        <v>181</v>
      </c>
      <c r="E129" s="10" t="s">
        <v>390</v>
      </c>
      <c r="F129" s="47">
        <v>98</v>
      </c>
      <c r="G129" s="12">
        <f t="shared" si="1"/>
        <v>0.40305996545200296</v>
      </c>
      <c r="H129" s="66">
        <v>1541.5</v>
      </c>
      <c r="I129" s="40" t="s">
        <v>291</v>
      </c>
      <c r="J129" s="66">
        <v>21814146.239999998</v>
      </c>
      <c r="K129" s="66">
        <v>19550000</v>
      </c>
    </row>
    <row r="130" spans="2:11" ht="30" x14ac:dyDescent="0.25">
      <c r="B130" s="16" t="s">
        <v>143</v>
      </c>
      <c r="C130" s="4" t="s">
        <v>180</v>
      </c>
      <c r="D130" s="21" t="s">
        <v>181</v>
      </c>
      <c r="E130" s="10" t="s">
        <v>390</v>
      </c>
      <c r="F130" s="67">
        <v>207</v>
      </c>
      <c r="G130" s="12">
        <f t="shared" si="1"/>
        <v>0.85136135559759807</v>
      </c>
      <c r="H130" s="65">
        <v>658.87</v>
      </c>
      <c r="I130" s="40" t="s">
        <v>291</v>
      </c>
      <c r="J130" s="65">
        <f>20468180.5-352440</f>
        <v>20115740.5</v>
      </c>
      <c r="K130" s="65">
        <f>22534000+352440</f>
        <v>22886440</v>
      </c>
    </row>
    <row r="131" spans="2:11" ht="30" x14ac:dyDescent="0.25">
      <c r="B131" s="16" t="s">
        <v>144</v>
      </c>
      <c r="C131" s="4" t="s">
        <v>180</v>
      </c>
      <c r="D131" s="21" t="s">
        <v>181</v>
      </c>
      <c r="E131" s="10" t="s">
        <v>390</v>
      </c>
      <c r="F131" s="47">
        <v>230</v>
      </c>
      <c r="G131" s="12">
        <f t="shared" si="1"/>
        <v>0.94595706177510908</v>
      </c>
      <c r="H131" s="66">
        <v>218.69</v>
      </c>
      <c r="I131" s="40" t="s">
        <v>291</v>
      </c>
      <c r="J131" s="66">
        <v>22603841.860000003</v>
      </c>
      <c r="K131" s="66">
        <v>24234360.969999999</v>
      </c>
    </row>
    <row r="132" spans="2:11" ht="30" x14ac:dyDescent="0.25">
      <c r="B132" s="16" t="s">
        <v>145</v>
      </c>
      <c r="C132" s="4" t="s">
        <v>180</v>
      </c>
      <c r="D132" s="21" t="s">
        <v>181</v>
      </c>
      <c r="E132" s="10" t="s">
        <v>390</v>
      </c>
      <c r="F132" s="47">
        <v>128</v>
      </c>
      <c r="G132" s="12">
        <f t="shared" si="1"/>
        <v>0.5264456691617998</v>
      </c>
      <c r="H132" s="66">
        <v>2956.4</v>
      </c>
      <c r="I132" s="40" t="s">
        <v>291</v>
      </c>
      <c r="J132" s="66">
        <v>18597649.739999998</v>
      </c>
      <c r="K132" s="66">
        <v>20222000</v>
      </c>
    </row>
    <row r="133" spans="2:11" ht="30" x14ac:dyDescent="0.25">
      <c r="B133" s="16" t="s">
        <v>146</v>
      </c>
      <c r="C133" s="4" t="s">
        <v>180</v>
      </c>
      <c r="D133" s="21" t="s">
        <v>181</v>
      </c>
      <c r="E133" s="10" t="s">
        <v>390</v>
      </c>
      <c r="F133" s="67">
        <v>119</v>
      </c>
      <c r="G133" s="12">
        <f t="shared" si="1"/>
        <v>0.48942995804886075</v>
      </c>
      <c r="H133" s="65">
        <v>0</v>
      </c>
      <c r="I133" s="40" t="s">
        <v>291</v>
      </c>
      <c r="J133" s="65">
        <f>12328136.75-54000</f>
        <v>12274136.75</v>
      </c>
      <c r="K133" s="65">
        <f>12379000+54000</f>
        <v>12433000</v>
      </c>
    </row>
    <row r="134" spans="2:11" ht="30" x14ac:dyDescent="0.25">
      <c r="B134" s="16" t="s">
        <v>147</v>
      </c>
      <c r="C134" s="4" t="s">
        <v>180</v>
      </c>
      <c r="D134" s="21" t="s">
        <v>181</v>
      </c>
      <c r="E134" s="10" t="s">
        <v>390</v>
      </c>
      <c r="F134" s="67">
        <v>236</v>
      </c>
      <c r="G134" s="12">
        <f t="shared" si="1"/>
        <v>0.97063420251706833</v>
      </c>
      <c r="H134" s="65">
        <v>156.88</v>
      </c>
      <c r="I134" s="40" t="s">
        <v>291</v>
      </c>
      <c r="J134" s="65">
        <v>25612249.02</v>
      </c>
      <c r="K134" s="65">
        <v>24686000</v>
      </c>
    </row>
    <row r="135" spans="2:11" ht="30" x14ac:dyDescent="0.25">
      <c r="B135" s="16" t="s">
        <v>148</v>
      </c>
      <c r="C135" s="4" t="s">
        <v>180</v>
      </c>
      <c r="D135" s="21" t="s">
        <v>181</v>
      </c>
      <c r="E135" s="10" t="s">
        <v>390</v>
      </c>
      <c r="F135" s="67">
        <v>335</v>
      </c>
      <c r="G135" s="12">
        <f t="shared" ref="G135:G165" si="2">(F135/$F$166)*100</f>
        <v>1.3778070247593979</v>
      </c>
      <c r="H135" s="65">
        <v>516.09</v>
      </c>
      <c r="I135" s="40" t="s">
        <v>291</v>
      </c>
      <c r="J135" s="65">
        <f>26171577.53-1797237.88</f>
        <v>24374339.650000002</v>
      </c>
      <c r="K135" s="65">
        <f>35213000+1797237.88</f>
        <v>37010237.880000003</v>
      </c>
    </row>
    <row r="136" spans="2:11" ht="30" x14ac:dyDescent="0.25">
      <c r="B136" s="16" t="s">
        <v>149</v>
      </c>
      <c r="C136" s="4" t="s">
        <v>180</v>
      </c>
      <c r="D136" s="21" t="s">
        <v>181</v>
      </c>
      <c r="E136" s="10" t="s">
        <v>390</v>
      </c>
      <c r="F136" s="67">
        <v>180</v>
      </c>
      <c r="G136" s="12">
        <f t="shared" si="2"/>
        <v>0.74031422225878096</v>
      </c>
      <c r="H136" s="65">
        <v>507.77</v>
      </c>
      <c r="I136" s="40" t="s">
        <v>291</v>
      </c>
      <c r="J136" s="65">
        <f>18770065.76-698335.71</f>
        <v>18071730.050000001</v>
      </c>
      <c r="K136" s="65">
        <f>19433000+698335.71</f>
        <v>20131335.710000001</v>
      </c>
    </row>
    <row r="137" spans="2:11" ht="30" x14ac:dyDescent="0.25">
      <c r="B137" s="16" t="s">
        <v>150</v>
      </c>
      <c r="C137" s="4" t="s">
        <v>180</v>
      </c>
      <c r="D137" s="21" t="s">
        <v>181</v>
      </c>
      <c r="E137" s="10" t="s">
        <v>390</v>
      </c>
      <c r="F137" s="47">
        <v>209</v>
      </c>
      <c r="G137" s="12">
        <f t="shared" si="2"/>
        <v>0.85958706917825123</v>
      </c>
      <c r="H137" s="66">
        <v>159.99</v>
      </c>
      <c r="I137" s="40" t="s">
        <v>291</v>
      </c>
      <c r="J137" s="66">
        <v>20653031.98</v>
      </c>
      <c r="K137" s="66">
        <v>20142598</v>
      </c>
    </row>
    <row r="138" spans="2:11" ht="30" x14ac:dyDescent="0.25">
      <c r="B138" s="16" t="s">
        <v>151</v>
      </c>
      <c r="C138" s="4" t="s">
        <v>180</v>
      </c>
      <c r="D138" s="21" t="s">
        <v>181</v>
      </c>
      <c r="E138" s="10" t="s">
        <v>390</v>
      </c>
      <c r="F138" s="67">
        <v>120</v>
      </c>
      <c r="G138" s="12">
        <f t="shared" si="2"/>
        <v>0.49354281483918727</v>
      </c>
      <c r="H138" s="65">
        <v>221.49</v>
      </c>
      <c r="I138" s="40" t="s">
        <v>291</v>
      </c>
      <c r="J138" s="65">
        <f>16044416.62-746906.28</f>
        <v>15297510.34</v>
      </c>
      <c r="K138" s="65">
        <f>15347000+746906.28</f>
        <v>16093906.279999999</v>
      </c>
    </row>
    <row r="139" spans="2:11" ht="30" x14ac:dyDescent="0.25">
      <c r="B139" s="16" t="s">
        <v>152</v>
      </c>
      <c r="C139" s="4" t="s">
        <v>180</v>
      </c>
      <c r="D139" s="21" t="s">
        <v>181</v>
      </c>
      <c r="E139" s="10" t="s">
        <v>390</v>
      </c>
      <c r="F139" s="47">
        <v>206</v>
      </c>
      <c r="G139" s="12">
        <f t="shared" si="2"/>
        <v>0.84724849880727149</v>
      </c>
      <c r="H139" s="66">
        <v>255.53</v>
      </c>
      <c r="I139" s="40" t="s">
        <v>291</v>
      </c>
      <c r="J139" s="66">
        <v>20180733.010000002</v>
      </c>
      <c r="K139" s="66">
        <v>22954133.98</v>
      </c>
    </row>
    <row r="140" spans="2:11" ht="30" x14ac:dyDescent="0.25">
      <c r="B140" s="16" t="s">
        <v>153</v>
      </c>
      <c r="C140" s="4" t="s">
        <v>180</v>
      </c>
      <c r="D140" s="21" t="s">
        <v>181</v>
      </c>
      <c r="E140" s="10" t="s">
        <v>390</v>
      </c>
      <c r="F140" s="67">
        <v>300</v>
      </c>
      <c r="G140" s="12">
        <f t="shared" si="2"/>
        <v>1.2338570370979682</v>
      </c>
      <c r="H140" s="65">
        <v>97.05</v>
      </c>
      <c r="I140" s="40" t="s">
        <v>291</v>
      </c>
      <c r="J140" s="65">
        <f>24005192.76-381554.31</f>
        <v>23623638.450000003</v>
      </c>
      <c r="K140" s="65">
        <f>32742000+381554.31</f>
        <v>33123554.309999999</v>
      </c>
    </row>
    <row r="141" spans="2:11" ht="30" x14ac:dyDescent="0.25">
      <c r="B141" s="16" t="s">
        <v>154</v>
      </c>
      <c r="C141" s="4" t="s">
        <v>180</v>
      </c>
      <c r="D141" s="21" t="s">
        <v>181</v>
      </c>
      <c r="E141" s="10" t="s">
        <v>390</v>
      </c>
      <c r="F141" s="47">
        <v>172</v>
      </c>
      <c r="G141" s="12">
        <f t="shared" si="2"/>
        <v>0.70741136793616843</v>
      </c>
      <c r="H141" s="66">
        <v>618.79</v>
      </c>
      <c r="I141" s="40" t="s">
        <v>291</v>
      </c>
      <c r="J141" s="66">
        <v>21103777.079999998</v>
      </c>
      <c r="K141" s="66">
        <v>17912539</v>
      </c>
    </row>
    <row r="142" spans="2:11" ht="30" x14ac:dyDescent="0.25">
      <c r="B142" s="16" t="s">
        <v>155</v>
      </c>
      <c r="C142" s="4" t="s">
        <v>180</v>
      </c>
      <c r="D142" s="21" t="s">
        <v>181</v>
      </c>
      <c r="E142" s="10" t="s">
        <v>390</v>
      </c>
      <c r="F142" s="47">
        <v>288</v>
      </c>
      <c r="G142" s="12">
        <f t="shared" si="2"/>
        <v>1.1845027556140495</v>
      </c>
      <c r="H142" s="66">
        <v>7134.15</v>
      </c>
      <c r="I142" s="40" t="s">
        <v>291</v>
      </c>
      <c r="J142" s="66">
        <v>30952379.059999999</v>
      </c>
      <c r="K142" s="66">
        <v>32248172.77</v>
      </c>
    </row>
    <row r="143" spans="2:11" ht="30" x14ac:dyDescent="0.25">
      <c r="B143" s="16" t="s">
        <v>156</v>
      </c>
      <c r="C143" s="4" t="s">
        <v>180</v>
      </c>
      <c r="D143" s="21" t="s">
        <v>181</v>
      </c>
      <c r="E143" s="10" t="s">
        <v>390</v>
      </c>
      <c r="F143" s="47">
        <v>152</v>
      </c>
      <c r="G143" s="12">
        <f t="shared" si="2"/>
        <v>0.62515423212963728</v>
      </c>
      <c r="H143" s="66">
        <v>279.86</v>
      </c>
      <c r="I143" s="40" t="s">
        <v>291</v>
      </c>
      <c r="J143" s="66">
        <v>16006958.35</v>
      </c>
      <c r="K143" s="66">
        <v>13626570</v>
      </c>
    </row>
    <row r="144" spans="2:11" ht="30" x14ac:dyDescent="0.25">
      <c r="B144" s="16" t="s">
        <v>157</v>
      </c>
      <c r="C144" s="4" t="s">
        <v>180</v>
      </c>
      <c r="D144" s="21" t="s">
        <v>181</v>
      </c>
      <c r="E144" s="10" t="s">
        <v>390</v>
      </c>
      <c r="F144" s="47">
        <v>202</v>
      </c>
      <c r="G144" s="12">
        <f t="shared" si="2"/>
        <v>0.83079707164596539</v>
      </c>
      <c r="H144" s="66">
        <v>334.06</v>
      </c>
      <c r="I144" s="40" t="s">
        <v>291</v>
      </c>
      <c r="J144" s="66">
        <v>22762088.780000001</v>
      </c>
      <c r="K144" s="66">
        <v>23587300.5</v>
      </c>
    </row>
    <row r="145" spans="2:11" ht="30" x14ac:dyDescent="0.25">
      <c r="B145" s="16" t="s">
        <v>158</v>
      </c>
      <c r="C145" s="4" t="s">
        <v>180</v>
      </c>
      <c r="D145" s="21" t="s">
        <v>181</v>
      </c>
      <c r="E145" s="10" t="s">
        <v>390</v>
      </c>
      <c r="F145" s="47">
        <v>0</v>
      </c>
      <c r="G145" s="12">
        <f t="shared" si="2"/>
        <v>0</v>
      </c>
      <c r="H145" s="66">
        <v>0</v>
      </c>
      <c r="I145" s="40" t="s">
        <v>291</v>
      </c>
      <c r="J145" s="66">
        <v>0</v>
      </c>
      <c r="K145" s="66">
        <v>0</v>
      </c>
    </row>
    <row r="146" spans="2:11" ht="30" x14ac:dyDescent="0.25">
      <c r="B146" s="16" t="s">
        <v>159</v>
      </c>
      <c r="C146" s="4" t="s">
        <v>180</v>
      </c>
      <c r="D146" s="21" t="s">
        <v>181</v>
      </c>
      <c r="E146" s="10" t="s">
        <v>390</v>
      </c>
      <c r="F146" s="67">
        <v>279</v>
      </c>
      <c r="G146" s="12">
        <f t="shared" si="2"/>
        <v>1.1474870445011105</v>
      </c>
      <c r="H146" s="65">
        <v>391.31</v>
      </c>
      <c r="I146" s="40" t="s">
        <v>291</v>
      </c>
      <c r="J146" s="65">
        <f>23301479.36-351000</f>
        <v>22950479.359999999</v>
      </c>
      <c r="K146" s="65">
        <f>27077000+351000</f>
        <v>27428000</v>
      </c>
    </row>
    <row r="147" spans="2:11" ht="30" x14ac:dyDescent="0.25">
      <c r="B147" s="16" t="s">
        <v>160</v>
      </c>
      <c r="C147" s="4" t="s">
        <v>180</v>
      </c>
      <c r="D147" s="21" t="s">
        <v>181</v>
      </c>
      <c r="E147" s="10" t="s">
        <v>390</v>
      </c>
      <c r="F147" s="67">
        <v>260</v>
      </c>
      <c r="G147" s="12">
        <f t="shared" si="2"/>
        <v>1.0693427654849059</v>
      </c>
      <c r="H147" s="65">
        <v>0</v>
      </c>
      <c r="I147" s="40" t="s">
        <v>291</v>
      </c>
      <c r="J147" s="65">
        <f>20614455.08-328500</f>
        <v>20285955.079999998</v>
      </c>
      <c r="K147" s="65">
        <f>24905000+328500</f>
        <v>25233500</v>
      </c>
    </row>
    <row r="148" spans="2:11" ht="30" x14ac:dyDescent="0.25">
      <c r="B148" s="16" t="s">
        <v>161</v>
      </c>
      <c r="C148" s="4" t="s">
        <v>180</v>
      </c>
      <c r="D148" s="21" t="s">
        <v>181</v>
      </c>
      <c r="E148" s="10" t="s">
        <v>390</v>
      </c>
      <c r="F148" s="47">
        <v>208</v>
      </c>
      <c r="G148" s="12">
        <f t="shared" si="2"/>
        <v>0.85547421238792465</v>
      </c>
      <c r="H148" s="66">
        <v>750.18</v>
      </c>
      <c r="I148" s="40" t="s">
        <v>291</v>
      </c>
      <c r="J148" s="66">
        <v>27094057.329999998</v>
      </c>
      <c r="K148" s="66">
        <v>22284730</v>
      </c>
    </row>
    <row r="149" spans="2:11" ht="30" x14ac:dyDescent="0.25">
      <c r="B149" s="16" t="s">
        <v>162</v>
      </c>
      <c r="C149" s="4" t="s">
        <v>180</v>
      </c>
      <c r="D149" s="21" t="s">
        <v>181</v>
      </c>
      <c r="E149" s="10" t="s">
        <v>390</v>
      </c>
      <c r="F149" s="67">
        <v>233</v>
      </c>
      <c r="G149" s="12">
        <f t="shared" si="2"/>
        <v>0.95829563214608871</v>
      </c>
      <c r="H149" s="65">
        <v>343.21</v>
      </c>
      <c r="I149" s="40" t="s">
        <v>291</v>
      </c>
      <c r="J149" s="65">
        <v>23876018.98</v>
      </c>
      <c r="K149" s="65">
        <v>29177000</v>
      </c>
    </row>
    <row r="150" spans="2:11" ht="30" x14ac:dyDescent="0.25">
      <c r="B150" s="16" t="s">
        <v>163</v>
      </c>
      <c r="C150" s="4" t="s">
        <v>180</v>
      </c>
      <c r="D150" s="21" t="s">
        <v>181</v>
      </c>
      <c r="E150" s="10" t="s">
        <v>390</v>
      </c>
      <c r="F150" s="47">
        <v>188</v>
      </c>
      <c r="G150" s="12">
        <f t="shared" si="2"/>
        <v>0.77321707658139338</v>
      </c>
      <c r="H150" s="66">
        <v>346.51</v>
      </c>
      <c r="I150" s="40" t="s">
        <v>291</v>
      </c>
      <c r="J150" s="66">
        <v>19150660.18</v>
      </c>
      <c r="K150" s="66">
        <v>20388600</v>
      </c>
    </row>
    <row r="151" spans="2:11" ht="30" x14ac:dyDescent="0.25">
      <c r="B151" s="16" t="s">
        <v>164</v>
      </c>
      <c r="C151" s="4" t="s">
        <v>180</v>
      </c>
      <c r="D151" s="21" t="s">
        <v>181</v>
      </c>
      <c r="E151" s="10" t="s">
        <v>390</v>
      </c>
      <c r="F151" s="47">
        <v>218</v>
      </c>
      <c r="G151" s="12">
        <f t="shared" si="2"/>
        <v>0.89660278029119034</v>
      </c>
      <c r="H151" s="66">
        <v>644.25</v>
      </c>
      <c r="I151" s="40" t="s">
        <v>291</v>
      </c>
      <c r="J151" s="66">
        <v>23650770.669999998</v>
      </c>
      <c r="K151" s="66">
        <v>25460636.5</v>
      </c>
    </row>
    <row r="152" spans="2:11" ht="30" x14ac:dyDescent="0.25">
      <c r="B152" s="16" t="s">
        <v>165</v>
      </c>
      <c r="C152" s="4" t="s">
        <v>180</v>
      </c>
      <c r="D152" s="21" t="s">
        <v>181</v>
      </c>
      <c r="E152" s="10" t="s">
        <v>390</v>
      </c>
      <c r="F152" s="47">
        <v>129</v>
      </c>
      <c r="G152" s="12">
        <f t="shared" si="2"/>
        <v>0.53055852595212638</v>
      </c>
      <c r="H152" s="66">
        <v>3290.02</v>
      </c>
      <c r="I152" s="40" t="s">
        <v>291</v>
      </c>
      <c r="J152" s="66">
        <v>22101442.73</v>
      </c>
      <c r="K152" s="66">
        <v>23910000</v>
      </c>
    </row>
    <row r="153" spans="2:11" ht="30" x14ac:dyDescent="0.25">
      <c r="B153" s="16" t="s">
        <v>166</v>
      </c>
      <c r="C153" s="4" t="s">
        <v>180</v>
      </c>
      <c r="D153" s="21" t="s">
        <v>181</v>
      </c>
      <c r="E153" s="10" t="s">
        <v>390</v>
      </c>
      <c r="F153" s="47">
        <v>150</v>
      </c>
      <c r="G153" s="12">
        <f t="shared" si="2"/>
        <v>0.61692851854898412</v>
      </c>
      <c r="H153" s="66">
        <v>340.36</v>
      </c>
      <c r="I153" s="40" t="s">
        <v>291</v>
      </c>
      <c r="J153" s="66">
        <v>24931930.93</v>
      </c>
      <c r="K153" s="66">
        <v>19497736.5</v>
      </c>
    </row>
    <row r="154" spans="2:11" ht="30" x14ac:dyDescent="0.25">
      <c r="B154" s="16" t="s">
        <v>167</v>
      </c>
      <c r="C154" s="4" t="s">
        <v>180</v>
      </c>
      <c r="D154" s="21" t="s">
        <v>181</v>
      </c>
      <c r="E154" s="10" t="s">
        <v>390</v>
      </c>
      <c r="F154" s="47">
        <v>224</v>
      </c>
      <c r="G154" s="12">
        <f t="shared" si="2"/>
        <v>0.9212799210331496</v>
      </c>
      <c r="H154" s="66">
        <v>604.04</v>
      </c>
      <c r="I154" s="40" t="s">
        <v>291</v>
      </c>
      <c r="J154" s="66">
        <v>26543448.139999993</v>
      </c>
      <c r="K154" s="66">
        <v>23840400</v>
      </c>
    </row>
    <row r="155" spans="2:11" ht="30" x14ac:dyDescent="0.25">
      <c r="B155" s="16" t="s">
        <v>168</v>
      </c>
      <c r="C155" s="4" t="s">
        <v>180</v>
      </c>
      <c r="D155" s="21" t="s">
        <v>181</v>
      </c>
      <c r="E155" s="10" t="s">
        <v>390</v>
      </c>
      <c r="F155" s="47">
        <v>249</v>
      </c>
      <c r="G155" s="12">
        <f t="shared" si="2"/>
        <v>1.0241013407913135</v>
      </c>
      <c r="H155" s="66">
        <v>112.72</v>
      </c>
      <c r="I155" s="40" t="s">
        <v>291</v>
      </c>
      <c r="J155" s="66">
        <v>35434053.790000007</v>
      </c>
      <c r="K155" s="66">
        <v>32666400</v>
      </c>
    </row>
    <row r="156" spans="2:11" ht="30" x14ac:dyDescent="0.25">
      <c r="B156" s="16" t="s">
        <v>169</v>
      </c>
      <c r="C156" s="4" t="s">
        <v>180</v>
      </c>
      <c r="D156" s="21" t="s">
        <v>181</v>
      </c>
      <c r="E156" s="10" t="s">
        <v>390</v>
      </c>
      <c r="F156" s="47">
        <v>142</v>
      </c>
      <c r="G156" s="12">
        <f t="shared" si="2"/>
        <v>0.5840256642263717</v>
      </c>
      <c r="H156" s="66">
        <v>441.73</v>
      </c>
      <c r="I156" s="40" t="s">
        <v>291</v>
      </c>
      <c r="J156" s="66">
        <v>17488038.460000001</v>
      </c>
      <c r="K156" s="66">
        <v>16498300</v>
      </c>
    </row>
    <row r="157" spans="2:11" ht="30" x14ac:dyDescent="0.25">
      <c r="B157" s="16" t="s">
        <v>170</v>
      </c>
      <c r="C157" s="4" t="s">
        <v>180</v>
      </c>
      <c r="D157" s="21" t="s">
        <v>181</v>
      </c>
      <c r="E157" s="10" t="s">
        <v>390</v>
      </c>
      <c r="F157" s="47">
        <v>206</v>
      </c>
      <c r="G157" s="12">
        <f t="shared" si="2"/>
        <v>0.84724849880727149</v>
      </c>
      <c r="H157" s="66">
        <v>201.87</v>
      </c>
      <c r="I157" s="40" t="s">
        <v>291</v>
      </c>
      <c r="J157" s="66">
        <v>31053733.370000001</v>
      </c>
      <c r="K157" s="66">
        <v>23766176.219999999</v>
      </c>
    </row>
    <row r="158" spans="2:11" ht="30" x14ac:dyDescent="0.25">
      <c r="B158" s="16" t="s">
        <v>171</v>
      </c>
      <c r="C158" s="4" t="s">
        <v>180</v>
      </c>
      <c r="D158" s="21" t="s">
        <v>181</v>
      </c>
      <c r="E158" s="10" t="s">
        <v>390</v>
      </c>
      <c r="F158" s="47">
        <v>219</v>
      </c>
      <c r="G158" s="12">
        <f t="shared" si="2"/>
        <v>0.90071563708151692</v>
      </c>
      <c r="H158" s="66">
        <v>532.62</v>
      </c>
      <c r="I158" s="40" t="s">
        <v>291</v>
      </c>
      <c r="J158" s="66">
        <v>35323455.660000004</v>
      </c>
      <c r="K158" s="66">
        <v>33845300</v>
      </c>
    </row>
    <row r="159" spans="2:11" ht="30" x14ac:dyDescent="0.25">
      <c r="B159" s="16" t="s">
        <v>172</v>
      </c>
      <c r="C159" s="4" t="s">
        <v>180</v>
      </c>
      <c r="D159" s="21" t="s">
        <v>181</v>
      </c>
      <c r="E159" s="10" t="s">
        <v>390</v>
      </c>
      <c r="F159" s="67">
        <v>257</v>
      </c>
      <c r="G159" s="12">
        <f t="shared" si="2"/>
        <v>1.0570041951139262</v>
      </c>
      <c r="H159" s="65">
        <v>55.04</v>
      </c>
      <c r="I159" s="40" t="s">
        <v>291</v>
      </c>
      <c r="J159" s="65">
        <f>19056288.4-1314509.62</f>
        <v>17741778.779999997</v>
      </c>
      <c r="K159" s="65">
        <f>24159000+1314509.62</f>
        <v>25473509.620000001</v>
      </c>
    </row>
    <row r="160" spans="2:11" ht="30" x14ac:dyDescent="0.25">
      <c r="B160" s="16" t="s">
        <v>173</v>
      </c>
      <c r="C160" s="4" t="s">
        <v>180</v>
      </c>
      <c r="D160" s="21" t="s">
        <v>181</v>
      </c>
      <c r="E160" s="10" t="s">
        <v>390</v>
      </c>
      <c r="F160" s="67">
        <v>111</v>
      </c>
      <c r="G160" s="12">
        <f t="shared" si="2"/>
        <v>0.45652710372624822</v>
      </c>
      <c r="H160" s="65">
        <v>0</v>
      </c>
      <c r="I160" s="40" t="s">
        <v>291</v>
      </c>
      <c r="J160" s="65">
        <v>8443679.8300000001</v>
      </c>
      <c r="K160" s="65">
        <v>7893000</v>
      </c>
    </row>
    <row r="161" spans="2:11" ht="30" x14ac:dyDescent="0.25">
      <c r="B161" s="16" t="s">
        <v>174</v>
      </c>
      <c r="C161" s="4" t="s">
        <v>180</v>
      </c>
      <c r="D161" s="21" t="s">
        <v>181</v>
      </c>
      <c r="E161" s="10" t="s">
        <v>390</v>
      </c>
      <c r="F161" s="67">
        <v>233</v>
      </c>
      <c r="G161" s="12">
        <f t="shared" si="2"/>
        <v>0.95829563214608871</v>
      </c>
      <c r="H161" s="65">
        <v>117.04</v>
      </c>
      <c r="I161" s="40" t="s">
        <v>291</v>
      </c>
      <c r="J161" s="65">
        <v>18884887.030000001</v>
      </c>
      <c r="K161" s="65">
        <v>16268000</v>
      </c>
    </row>
    <row r="162" spans="2:11" ht="30" x14ac:dyDescent="0.25">
      <c r="B162" s="16" t="s">
        <v>175</v>
      </c>
      <c r="C162" s="4" t="s">
        <v>180</v>
      </c>
      <c r="D162" s="21" t="s">
        <v>181</v>
      </c>
      <c r="E162" s="10" t="s">
        <v>390</v>
      </c>
      <c r="F162" s="47">
        <v>94</v>
      </c>
      <c r="G162" s="12">
        <f t="shared" si="2"/>
        <v>0.38660853829069669</v>
      </c>
      <c r="H162" s="66">
        <v>0</v>
      </c>
      <c r="I162" s="40" t="s">
        <v>291</v>
      </c>
      <c r="J162" s="66">
        <v>11061421.340000002</v>
      </c>
      <c r="K162" s="66">
        <v>6504300</v>
      </c>
    </row>
    <row r="163" spans="2:11" ht="30" x14ac:dyDescent="0.25">
      <c r="B163" s="16" t="s">
        <v>176</v>
      </c>
      <c r="C163" s="4" t="s">
        <v>180</v>
      </c>
      <c r="D163" s="21" t="s">
        <v>181</v>
      </c>
      <c r="E163" s="10" t="s">
        <v>390</v>
      </c>
      <c r="F163" s="47">
        <v>59</v>
      </c>
      <c r="G163" s="12">
        <f t="shared" si="2"/>
        <v>0.24265855062926708</v>
      </c>
      <c r="H163" s="66">
        <v>998.42</v>
      </c>
      <c r="I163" s="40" t="s">
        <v>291</v>
      </c>
      <c r="J163" s="66">
        <v>7128693.6900000004</v>
      </c>
      <c r="K163" s="66">
        <v>4153854.68</v>
      </c>
    </row>
    <row r="164" spans="2:11" ht="30" x14ac:dyDescent="0.25">
      <c r="B164" s="16" t="s">
        <v>177</v>
      </c>
      <c r="C164" s="4" t="s">
        <v>180</v>
      </c>
      <c r="D164" s="21" t="s">
        <v>181</v>
      </c>
      <c r="E164" s="10" t="s">
        <v>390</v>
      </c>
      <c r="F164" s="47">
        <v>0</v>
      </c>
      <c r="G164" s="12">
        <f t="shared" si="2"/>
        <v>0</v>
      </c>
      <c r="H164" s="66">
        <v>0</v>
      </c>
      <c r="I164" s="40" t="s">
        <v>291</v>
      </c>
      <c r="J164" s="66">
        <v>0</v>
      </c>
      <c r="K164" s="66">
        <v>0</v>
      </c>
    </row>
    <row r="165" spans="2:11" ht="30" x14ac:dyDescent="0.25">
      <c r="B165" s="16" t="s">
        <v>178</v>
      </c>
      <c r="C165" s="4" t="s">
        <v>180</v>
      </c>
      <c r="D165" s="21" t="s">
        <v>181</v>
      </c>
      <c r="E165" s="10" t="s">
        <v>390</v>
      </c>
      <c r="F165" s="47">
        <v>177</v>
      </c>
      <c r="G165" s="12">
        <f t="shared" si="2"/>
        <v>0.72797565188780122</v>
      </c>
      <c r="H165" s="66">
        <v>4249.4799999999996</v>
      </c>
      <c r="I165" s="40" t="s">
        <v>291</v>
      </c>
      <c r="J165" s="66">
        <v>23773771.350000001</v>
      </c>
      <c r="K165" s="66">
        <v>17080000</v>
      </c>
    </row>
    <row r="166" spans="2:11" ht="15" customHeight="1" x14ac:dyDescent="0.25">
      <c r="B166" s="68" t="s">
        <v>380</v>
      </c>
      <c r="C166" s="71"/>
      <c r="D166" s="72"/>
      <c r="E166" s="90" t="s">
        <v>391</v>
      </c>
      <c r="F166" s="24">
        <f>F167+F168</f>
        <v>24314</v>
      </c>
      <c r="G166" s="25">
        <f>SUM(G167:G168)</f>
        <v>99.999999999999972</v>
      </c>
      <c r="H166" s="23" t="s">
        <v>291</v>
      </c>
      <c r="I166" s="23" t="s">
        <v>291</v>
      </c>
      <c r="J166" s="23" t="s">
        <v>291</v>
      </c>
      <c r="K166" s="23" t="s">
        <v>291</v>
      </c>
    </row>
    <row r="167" spans="2:11" ht="15" customHeight="1" x14ac:dyDescent="0.25">
      <c r="B167" s="68" t="s">
        <v>381</v>
      </c>
      <c r="C167" s="71"/>
      <c r="D167" s="72"/>
      <c r="E167" s="91"/>
      <c r="F167" s="24">
        <f>SUM(F6:F165)</f>
        <v>24158</v>
      </c>
      <c r="G167" s="25">
        <f>SUM(G6:G165)</f>
        <v>99.358394340709026</v>
      </c>
      <c r="H167" s="23" t="s">
        <v>291</v>
      </c>
      <c r="I167" s="23" t="s">
        <v>291</v>
      </c>
      <c r="J167" s="23" t="s">
        <v>291</v>
      </c>
      <c r="K167" s="23" t="s">
        <v>291</v>
      </c>
    </row>
    <row r="168" spans="2:11" ht="15" customHeight="1" x14ac:dyDescent="0.25">
      <c r="B168" s="68" t="s">
        <v>382</v>
      </c>
      <c r="C168" s="71"/>
      <c r="D168" s="72"/>
      <c r="E168" s="91"/>
      <c r="F168" s="24">
        <v>156</v>
      </c>
      <c r="G168" s="25">
        <f>(F168/F166)*100</f>
        <v>0.64160565929094349</v>
      </c>
      <c r="H168" s="23" t="s">
        <v>291</v>
      </c>
      <c r="I168" s="23" t="s">
        <v>291</v>
      </c>
      <c r="J168" s="23" t="s">
        <v>291</v>
      </c>
      <c r="K168" s="23" t="s">
        <v>291</v>
      </c>
    </row>
    <row r="169" spans="2:11" ht="15" customHeight="1" x14ac:dyDescent="0.25">
      <c r="B169" s="74" t="s">
        <v>383</v>
      </c>
      <c r="C169" s="75"/>
      <c r="D169" s="76"/>
      <c r="E169" s="91"/>
      <c r="F169" s="23">
        <v>92</v>
      </c>
      <c r="G169" s="26">
        <f>(F169/F166)*100</f>
        <v>0.37838282471004359</v>
      </c>
      <c r="H169" s="23" t="s">
        <v>291</v>
      </c>
      <c r="I169" s="23" t="s">
        <v>291</v>
      </c>
      <c r="J169" s="23" t="s">
        <v>291</v>
      </c>
      <c r="K169" s="23" t="s">
        <v>291</v>
      </c>
    </row>
    <row r="170" spans="2:11" ht="15" customHeight="1" x14ac:dyDescent="0.25">
      <c r="B170" s="74" t="s">
        <v>414</v>
      </c>
      <c r="C170" s="75"/>
      <c r="D170" s="76"/>
      <c r="E170" s="92"/>
      <c r="F170" s="23">
        <v>64</v>
      </c>
      <c r="G170" s="26">
        <f>(F170/F166)*100</f>
        <v>0.2632228345808999</v>
      </c>
      <c r="H170" s="23" t="s">
        <v>291</v>
      </c>
      <c r="I170" s="23" t="s">
        <v>291</v>
      </c>
      <c r="J170" s="23" t="s">
        <v>291</v>
      </c>
      <c r="K170" s="23" t="s">
        <v>291</v>
      </c>
    </row>
    <row r="171" spans="2:11" x14ac:dyDescent="0.25">
      <c r="B171" s="95" t="s">
        <v>13</v>
      </c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2:11" ht="31.5" x14ac:dyDescent="0.25">
      <c r="B172" s="17" t="s">
        <v>197</v>
      </c>
      <c r="C172" s="4" t="s">
        <v>180</v>
      </c>
      <c r="D172" s="21" t="s">
        <v>287</v>
      </c>
      <c r="E172" s="10" t="s">
        <v>390</v>
      </c>
      <c r="F172" s="46">
        <f>89+56</f>
        <v>145</v>
      </c>
      <c r="G172" s="12">
        <f>(F172/$F$262)*100</f>
        <v>0.22818116010449124</v>
      </c>
      <c r="H172" s="66">
        <v>600.30999999999995</v>
      </c>
      <c r="I172" s="40" t="s">
        <v>291</v>
      </c>
      <c r="J172" s="66">
        <v>4930727.12</v>
      </c>
      <c r="K172" s="66">
        <v>30872729.390000001</v>
      </c>
    </row>
    <row r="173" spans="2:11" ht="31.5" x14ac:dyDescent="0.25">
      <c r="B173" s="17" t="s">
        <v>198</v>
      </c>
      <c r="C173" s="4" t="s">
        <v>180</v>
      </c>
      <c r="D173" s="21" t="s">
        <v>287</v>
      </c>
      <c r="E173" s="10" t="s">
        <v>390</v>
      </c>
      <c r="F173" s="46">
        <v>406</v>
      </c>
      <c r="G173" s="12">
        <f t="shared" ref="G173:G236" si="3">(F173/$F$262)*100</f>
        <v>0.6389072482925755</v>
      </c>
      <c r="H173" s="66">
        <v>165.02</v>
      </c>
      <c r="I173" s="40" t="s">
        <v>291</v>
      </c>
      <c r="J173" s="66">
        <v>13824445.640000001</v>
      </c>
      <c r="K173" s="66">
        <f>3161612.17+36291521.31</f>
        <v>39453133.480000004</v>
      </c>
    </row>
    <row r="174" spans="2:11" ht="31.5" x14ac:dyDescent="0.25">
      <c r="B174" s="17" t="s">
        <v>199</v>
      </c>
      <c r="C174" s="4" t="s">
        <v>180</v>
      </c>
      <c r="D174" s="21" t="s">
        <v>287</v>
      </c>
      <c r="E174" s="10" t="s">
        <v>390</v>
      </c>
      <c r="F174" s="63">
        <v>1063</v>
      </c>
      <c r="G174" s="12">
        <f t="shared" si="3"/>
        <v>1.672803953041891</v>
      </c>
      <c r="H174" s="65">
        <v>532.71</v>
      </c>
      <c r="I174" s="40" t="s">
        <v>291</v>
      </c>
      <c r="J174" s="65">
        <v>8793300.9000000004</v>
      </c>
      <c r="K174" s="65">
        <v>52636541.909999996</v>
      </c>
    </row>
    <row r="175" spans="2:11" ht="31.5" x14ac:dyDescent="0.25">
      <c r="B175" s="17" t="s">
        <v>200</v>
      </c>
      <c r="C175" s="4" t="s">
        <v>180</v>
      </c>
      <c r="D175" s="21" t="s">
        <v>287</v>
      </c>
      <c r="E175" s="10" t="s">
        <v>390</v>
      </c>
      <c r="F175" s="63">
        <v>1045</v>
      </c>
      <c r="G175" s="12">
        <f t="shared" si="3"/>
        <v>1.6444780159254713</v>
      </c>
      <c r="H175" s="65">
        <v>2216.15</v>
      </c>
      <c r="I175" s="40" t="s">
        <v>291</v>
      </c>
      <c r="J175" s="65">
        <v>14695524.439999999</v>
      </c>
      <c r="K175" s="65">
        <v>50613970.799999997</v>
      </c>
    </row>
    <row r="176" spans="2:11" ht="31.5" x14ac:dyDescent="0.25">
      <c r="B176" s="17" t="s">
        <v>201</v>
      </c>
      <c r="C176" s="4" t="s">
        <v>180</v>
      </c>
      <c r="D176" s="21" t="s">
        <v>287</v>
      </c>
      <c r="E176" s="10" t="s">
        <v>390</v>
      </c>
      <c r="F176" s="46">
        <v>789</v>
      </c>
      <c r="G176" s="12">
        <f t="shared" si="3"/>
        <v>1.2416202436030592</v>
      </c>
      <c r="H176" s="66">
        <v>516.19000000000005</v>
      </c>
      <c r="I176" s="40" t="s">
        <v>291</v>
      </c>
      <c r="J176" s="66">
        <v>8290110.6600000001</v>
      </c>
      <c r="K176" s="66">
        <v>46682441.780000001</v>
      </c>
    </row>
    <row r="177" spans="2:11" ht="31.5" x14ac:dyDescent="0.25">
      <c r="B177" s="17" t="s">
        <v>202</v>
      </c>
      <c r="C177" s="4" t="s">
        <v>180</v>
      </c>
      <c r="D177" s="21" t="s">
        <v>287</v>
      </c>
      <c r="E177" s="10" t="s">
        <v>390</v>
      </c>
      <c r="F177" s="46">
        <v>813</v>
      </c>
      <c r="G177" s="12">
        <f t="shared" si="3"/>
        <v>1.2793881597582852</v>
      </c>
      <c r="H177" s="66">
        <v>246.73</v>
      </c>
      <c r="I177" s="40" t="s">
        <v>291</v>
      </c>
      <c r="J177" s="66">
        <v>12150585.18</v>
      </c>
      <c r="K177" s="66">
        <f>4116062.64+51353005.81</f>
        <v>55469068.450000003</v>
      </c>
    </row>
    <row r="178" spans="2:11" ht="31.5" x14ac:dyDescent="0.25">
      <c r="B178" s="17" t="s">
        <v>203</v>
      </c>
      <c r="C178" s="4" t="s">
        <v>180</v>
      </c>
      <c r="D178" s="21" t="s">
        <v>287</v>
      </c>
      <c r="E178" s="10" t="s">
        <v>390</v>
      </c>
      <c r="F178" s="46">
        <v>1234</v>
      </c>
      <c r="G178" s="12">
        <f t="shared" si="3"/>
        <v>1.9419003556478769</v>
      </c>
      <c r="H178" s="66">
        <v>1920.59</v>
      </c>
      <c r="I178" s="40" t="s">
        <v>291</v>
      </c>
      <c r="J178" s="66">
        <v>11993061.119999999</v>
      </c>
      <c r="K178" s="66">
        <f>6280941.52+67934451.35</f>
        <v>74215392.86999999</v>
      </c>
    </row>
    <row r="179" spans="2:11" ht="31.5" x14ac:dyDescent="0.25">
      <c r="B179" s="17" t="s">
        <v>204</v>
      </c>
      <c r="C179" s="4" t="s">
        <v>180</v>
      </c>
      <c r="D179" s="21" t="s">
        <v>287</v>
      </c>
      <c r="E179" s="10" t="s">
        <v>390</v>
      </c>
      <c r="F179" s="46">
        <v>553</v>
      </c>
      <c r="G179" s="12">
        <f t="shared" si="3"/>
        <v>0.8702357347433356</v>
      </c>
      <c r="H179" s="66">
        <v>23.49</v>
      </c>
      <c r="I179" s="40" t="s">
        <v>291</v>
      </c>
      <c r="J179" s="66">
        <v>13715280.75</v>
      </c>
      <c r="K179" s="66">
        <f>32615897.55+3297181.68</f>
        <v>35913079.230000004</v>
      </c>
    </row>
    <row r="180" spans="2:11" ht="31.5" x14ac:dyDescent="0.25">
      <c r="B180" s="17" t="s">
        <v>205</v>
      </c>
      <c r="C180" s="4" t="s">
        <v>180</v>
      </c>
      <c r="D180" s="21" t="s">
        <v>287</v>
      </c>
      <c r="E180" s="10" t="s">
        <v>390</v>
      </c>
      <c r="F180" s="46">
        <v>829</v>
      </c>
      <c r="G180" s="12">
        <f t="shared" si="3"/>
        <v>1.3045667705284361</v>
      </c>
      <c r="H180" s="66">
        <v>1281.79</v>
      </c>
      <c r="I180" s="40" t="s">
        <v>291</v>
      </c>
      <c r="J180" s="66">
        <v>9755282.7100000009</v>
      </c>
      <c r="K180" s="66">
        <v>47357211.259999998</v>
      </c>
    </row>
    <row r="181" spans="2:11" ht="30" x14ac:dyDescent="0.25">
      <c r="B181" s="17" t="s">
        <v>206</v>
      </c>
      <c r="C181" s="4" t="s">
        <v>180</v>
      </c>
      <c r="D181" s="21" t="s">
        <v>287</v>
      </c>
      <c r="E181" s="10" t="s">
        <v>390</v>
      </c>
      <c r="F181" s="63">
        <v>906</v>
      </c>
      <c r="G181" s="12">
        <f t="shared" si="3"/>
        <v>1.4257388348597866</v>
      </c>
      <c r="H181" s="65">
        <v>9442.17</v>
      </c>
      <c r="I181" s="40" t="s">
        <v>291</v>
      </c>
      <c r="J181" s="65">
        <v>12561474.369999999</v>
      </c>
      <c r="K181" s="65">
        <v>54782040.93</v>
      </c>
    </row>
    <row r="182" spans="2:11" ht="47.25" x14ac:dyDescent="0.25">
      <c r="B182" s="17" t="s">
        <v>207</v>
      </c>
      <c r="C182" s="4" t="s">
        <v>180</v>
      </c>
      <c r="D182" s="21" t="s">
        <v>287</v>
      </c>
      <c r="E182" s="10" t="s">
        <v>390</v>
      </c>
      <c r="F182" s="63">
        <v>723</v>
      </c>
      <c r="G182" s="12">
        <f t="shared" si="3"/>
        <v>1.1377584741761875</v>
      </c>
      <c r="H182" s="65">
        <v>465.04</v>
      </c>
      <c r="I182" s="40" t="s">
        <v>291</v>
      </c>
      <c r="J182" s="65">
        <v>7413539.25</v>
      </c>
      <c r="K182" s="65">
        <v>34824373.82</v>
      </c>
    </row>
    <row r="183" spans="2:11" ht="31.5" x14ac:dyDescent="0.25">
      <c r="B183" s="17" t="s">
        <v>208</v>
      </c>
      <c r="C183" s="4" t="s">
        <v>180</v>
      </c>
      <c r="D183" s="21" t="s">
        <v>287</v>
      </c>
      <c r="E183" s="10" t="s">
        <v>390</v>
      </c>
      <c r="F183" s="46">
        <v>1036</v>
      </c>
      <c r="G183" s="12">
        <f t="shared" si="3"/>
        <v>1.6303150473672614</v>
      </c>
      <c r="H183" s="66">
        <v>3356.4</v>
      </c>
      <c r="I183" s="40" t="s">
        <v>291</v>
      </c>
      <c r="J183" s="66">
        <v>13867669.23</v>
      </c>
      <c r="K183" s="66">
        <v>66627276.63000001</v>
      </c>
    </row>
    <row r="184" spans="2:11" ht="31.5" x14ac:dyDescent="0.25">
      <c r="B184" s="17" t="s">
        <v>209</v>
      </c>
      <c r="C184" s="4" t="s">
        <v>180</v>
      </c>
      <c r="D184" s="21" t="s">
        <v>287</v>
      </c>
      <c r="E184" s="10" t="s">
        <v>390</v>
      </c>
      <c r="F184" s="46">
        <v>1068</v>
      </c>
      <c r="G184" s="12">
        <f t="shared" si="3"/>
        <v>1.680672268907563</v>
      </c>
      <c r="H184" s="66">
        <v>1096.48</v>
      </c>
      <c r="I184" s="40" t="s">
        <v>291</v>
      </c>
      <c r="J184" s="66">
        <v>10594024.289999999</v>
      </c>
      <c r="K184" s="66">
        <v>60814860.82</v>
      </c>
    </row>
    <row r="185" spans="2:11" ht="31.5" x14ac:dyDescent="0.25">
      <c r="B185" s="17" t="s">
        <v>210</v>
      </c>
      <c r="C185" s="4" t="s">
        <v>180</v>
      </c>
      <c r="D185" s="21" t="s">
        <v>287</v>
      </c>
      <c r="E185" s="10" t="s">
        <v>390</v>
      </c>
      <c r="F185" s="63">
        <v>256</v>
      </c>
      <c r="G185" s="12">
        <f t="shared" si="3"/>
        <v>0.40285777232241216</v>
      </c>
      <c r="H185" s="65">
        <v>0</v>
      </c>
      <c r="I185" s="40" t="s">
        <v>291</v>
      </c>
      <c r="J185" s="65">
        <v>6693647.7599999998</v>
      </c>
      <c r="K185" s="65">
        <v>16307790.460000001</v>
      </c>
    </row>
    <row r="186" spans="2:11" ht="30" x14ac:dyDescent="0.25">
      <c r="B186" s="17" t="s">
        <v>211</v>
      </c>
      <c r="C186" s="4" t="s">
        <v>180</v>
      </c>
      <c r="D186" s="21" t="s">
        <v>287</v>
      </c>
      <c r="E186" s="10" t="s">
        <v>390</v>
      </c>
      <c r="F186" s="63">
        <v>759</v>
      </c>
      <c r="G186" s="12">
        <f t="shared" si="3"/>
        <v>1.1944103484090265</v>
      </c>
      <c r="H186" s="65">
        <v>3056.62</v>
      </c>
      <c r="I186" s="40" t="s">
        <v>291</v>
      </c>
      <c r="J186" s="65">
        <v>10686654.699999999</v>
      </c>
      <c r="K186" s="65">
        <v>43568586.579999998</v>
      </c>
    </row>
    <row r="187" spans="2:11" ht="31.5" x14ac:dyDescent="0.25">
      <c r="B187" s="17" t="s">
        <v>212</v>
      </c>
      <c r="C187" s="4" t="s">
        <v>180</v>
      </c>
      <c r="D187" s="21" t="s">
        <v>287</v>
      </c>
      <c r="E187" s="10" t="s">
        <v>390</v>
      </c>
      <c r="F187" s="46">
        <v>889</v>
      </c>
      <c r="G187" s="12">
        <f t="shared" si="3"/>
        <v>1.3989865609165015</v>
      </c>
      <c r="H187" s="66">
        <v>1701.6</v>
      </c>
      <c r="I187" s="40" t="s">
        <v>291</v>
      </c>
      <c r="J187" s="66">
        <v>8108151.1699999981</v>
      </c>
      <c r="K187" s="66">
        <v>52459336.000000007</v>
      </c>
    </row>
    <row r="188" spans="2:11" ht="31.5" x14ac:dyDescent="0.25">
      <c r="B188" s="17" t="s">
        <v>213</v>
      </c>
      <c r="C188" s="4" t="s">
        <v>180</v>
      </c>
      <c r="D188" s="21" t="s">
        <v>287</v>
      </c>
      <c r="E188" s="10" t="s">
        <v>390</v>
      </c>
      <c r="F188" s="46">
        <v>390</v>
      </c>
      <c r="G188" s="12">
        <f t="shared" si="3"/>
        <v>0.61372863752242468</v>
      </c>
      <c r="H188" s="66">
        <v>4</v>
      </c>
      <c r="I188" s="40" t="s">
        <v>291</v>
      </c>
      <c r="J188" s="66">
        <v>10360488.83</v>
      </c>
      <c r="K188" s="66">
        <v>21884151.91</v>
      </c>
    </row>
    <row r="189" spans="2:11" ht="30" x14ac:dyDescent="0.25">
      <c r="B189" s="17" t="s">
        <v>214</v>
      </c>
      <c r="C189" s="4" t="s">
        <v>180</v>
      </c>
      <c r="D189" s="21" t="s">
        <v>287</v>
      </c>
      <c r="E189" s="10" t="s">
        <v>390</v>
      </c>
      <c r="F189" s="46">
        <v>227</v>
      </c>
      <c r="G189" s="12">
        <f t="shared" si="3"/>
        <v>0.35722154030151387</v>
      </c>
      <c r="H189" s="66">
        <v>134.77000000000001</v>
      </c>
      <c r="I189" s="40" t="s">
        <v>291</v>
      </c>
      <c r="J189" s="66">
        <v>7467741.46</v>
      </c>
      <c r="K189" s="66">
        <v>69014986.829999998</v>
      </c>
    </row>
    <row r="190" spans="2:11" ht="31.5" x14ac:dyDescent="0.25">
      <c r="B190" s="17" t="s">
        <v>215</v>
      </c>
      <c r="C190" s="4" t="s">
        <v>180</v>
      </c>
      <c r="D190" s="21" t="s">
        <v>287</v>
      </c>
      <c r="E190" s="10" t="s">
        <v>390</v>
      </c>
      <c r="F190" s="46">
        <v>675</v>
      </c>
      <c r="G190" s="12">
        <f t="shared" si="3"/>
        <v>1.062222641865735</v>
      </c>
      <c r="H190" s="66">
        <v>553.54</v>
      </c>
      <c r="I190" s="40" t="s">
        <v>291</v>
      </c>
      <c r="J190" s="66">
        <v>6791470.1299999999</v>
      </c>
      <c r="K190" s="66">
        <v>39305224.829999998</v>
      </c>
    </row>
    <row r="191" spans="2:11" ht="31.5" x14ac:dyDescent="0.25">
      <c r="B191" s="17" t="s">
        <v>216</v>
      </c>
      <c r="C191" s="4" t="s">
        <v>180</v>
      </c>
      <c r="D191" s="21" t="s">
        <v>287</v>
      </c>
      <c r="E191" s="10" t="s">
        <v>390</v>
      </c>
      <c r="F191" s="46">
        <v>251</v>
      </c>
      <c r="G191" s="12">
        <f t="shared" si="3"/>
        <v>0.39498945645673994</v>
      </c>
      <c r="H191" s="66">
        <v>114.19</v>
      </c>
      <c r="I191" s="40" t="s">
        <v>291</v>
      </c>
      <c r="J191" s="66">
        <v>6521395.71</v>
      </c>
      <c r="K191" s="66">
        <f>1563264.3+16525127.89</f>
        <v>18088392.190000001</v>
      </c>
    </row>
    <row r="192" spans="2:11" ht="31.5" x14ac:dyDescent="0.25">
      <c r="B192" s="17" t="s">
        <v>217</v>
      </c>
      <c r="C192" s="4" t="s">
        <v>180</v>
      </c>
      <c r="D192" s="21" t="s">
        <v>287</v>
      </c>
      <c r="E192" s="10" t="s">
        <v>390</v>
      </c>
      <c r="F192" s="46">
        <v>487</v>
      </c>
      <c r="G192" s="12">
        <f t="shared" si="3"/>
        <v>0.76637396531646362</v>
      </c>
      <c r="H192" s="66">
        <v>121.85</v>
      </c>
      <c r="I192" s="40" t="s">
        <v>291</v>
      </c>
      <c r="J192" s="66">
        <v>4554782.5999999996</v>
      </c>
      <c r="K192" s="66">
        <v>23775206.41</v>
      </c>
    </row>
    <row r="193" spans="2:11" ht="31.5" x14ac:dyDescent="0.25">
      <c r="B193" s="17" t="s">
        <v>218</v>
      </c>
      <c r="C193" s="4" t="s">
        <v>180</v>
      </c>
      <c r="D193" s="21" t="s">
        <v>287</v>
      </c>
      <c r="E193" s="10" t="s">
        <v>390</v>
      </c>
      <c r="F193" s="63">
        <v>1023</v>
      </c>
      <c r="G193" s="12">
        <f t="shared" si="3"/>
        <v>1.6098574261165139</v>
      </c>
      <c r="H193" s="65">
        <v>181.21</v>
      </c>
      <c r="I193" s="40" t="s">
        <v>291</v>
      </c>
      <c r="J193" s="65">
        <v>9507224.3800000008</v>
      </c>
      <c r="K193" s="65">
        <v>63783085.049999997</v>
      </c>
    </row>
    <row r="194" spans="2:11" ht="31.5" x14ac:dyDescent="0.25">
      <c r="B194" s="17" t="s">
        <v>219</v>
      </c>
      <c r="C194" s="4" t="s">
        <v>180</v>
      </c>
      <c r="D194" s="21" t="s">
        <v>287</v>
      </c>
      <c r="E194" s="10" t="s">
        <v>390</v>
      </c>
      <c r="F194" s="46">
        <v>1066</v>
      </c>
      <c r="G194" s="12">
        <f t="shared" si="3"/>
        <v>1.6775249425612944</v>
      </c>
      <c r="H194" s="66">
        <v>683.59</v>
      </c>
      <c r="I194" s="40" t="s">
        <v>291</v>
      </c>
      <c r="J194" s="66">
        <v>9510482.7599999998</v>
      </c>
      <c r="K194" s="66">
        <v>52398158.960000001</v>
      </c>
    </row>
    <row r="195" spans="2:11" ht="31.5" x14ac:dyDescent="0.25">
      <c r="B195" s="17" t="s">
        <v>220</v>
      </c>
      <c r="C195" s="4" t="s">
        <v>180</v>
      </c>
      <c r="D195" s="21" t="s">
        <v>287</v>
      </c>
      <c r="E195" s="10" t="s">
        <v>390</v>
      </c>
      <c r="F195" s="46">
        <v>347</v>
      </c>
      <c r="G195" s="12">
        <f t="shared" si="3"/>
        <v>0.5460611210776446</v>
      </c>
      <c r="H195" s="66">
        <v>62.67</v>
      </c>
      <c r="I195" s="40" t="s">
        <v>291</v>
      </c>
      <c r="J195" s="66">
        <v>7124830.1699999999</v>
      </c>
      <c r="K195" s="66">
        <v>19545898.449999999</v>
      </c>
    </row>
    <row r="196" spans="2:11" ht="31.5" x14ac:dyDescent="0.25">
      <c r="B196" s="17" t="s">
        <v>221</v>
      </c>
      <c r="C196" s="4" t="s">
        <v>180</v>
      </c>
      <c r="D196" s="21" t="s">
        <v>287</v>
      </c>
      <c r="E196" s="10" t="s">
        <v>390</v>
      </c>
      <c r="F196" s="46">
        <v>995</v>
      </c>
      <c r="G196" s="12">
        <f t="shared" si="3"/>
        <v>1.5657948572687503</v>
      </c>
      <c r="H196" s="66">
        <v>1272.19</v>
      </c>
      <c r="I196" s="40" t="s">
        <v>291</v>
      </c>
      <c r="J196" s="66">
        <v>9787319.4399999995</v>
      </c>
      <c r="K196" s="66">
        <v>46521050.810000002</v>
      </c>
    </row>
    <row r="197" spans="2:11" ht="30" x14ac:dyDescent="0.25">
      <c r="B197" s="17" t="s">
        <v>222</v>
      </c>
      <c r="C197" s="4" t="s">
        <v>180</v>
      </c>
      <c r="D197" s="21" t="s">
        <v>287</v>
      </c>
      <c r="E197" s="10" t="s">
        <v>390</v>
      </c>
      <c r="F197" s="46">
        <v>125</v>
      </c>
      <c r="G197" s="12">
        <f t="shared" si="3"/>
        <v>0.19670789664180277</v>
      </c>
      <c r="H197" s="66">
        <v>284.29000000000002</v>
      </c>
      <c r="I197" s="40" t="s">
        <v>291</v>
      </c>
      <c r="J197" s="66">
        <v>2387267.19</v>
      </c>
      <c r="K197" s="66">
        <v>160320027.84</v>
      </c>
    </row>
    <row r="198" spans="2:11" ht="31.5" x14ac:dyDescent="0.25">
      <c r="B198" s="17" t="s">
        <v>223</v>
      </c>
      <c r="C198" s="4" t="s">
        <v>180</v>
      </c>
      <c r="D198" s="21" t="s">
        <v>287</v>
      </c>
      <c r="E198" s="10" t="s">
        <v>390</v>
      </c>
      <c r="F198" s="63">
        <v>990</v>
      </c>
      <c r="G198" s="12">
        <f t="shared" si="3"/>
        <v>1.5579265414030781</v>
      </c>
      <c r="H198" s="65">
        <v>1917.73</v>
      </c>
      <c r="I198" s="40" t="s">
        <v>291</v>
      </c>
      <c r="J198" s="65">
        <v>10203786.390000001</v>
      </c>
      <c r="K198" s="65">
        <v>48846680</v>
      </c>
    </row>
    <row r="199" spans="2:11" ht="30" x14ac:dyDescent="0.25">
      <c r="B199" s="17" t="s">
        <v>224</v>
      </c>
      <c r="C199" s="4" t="s">
        <v>180</v>
      </c>
      <c r="D199" s="21" t="s">
        <v>287</v>
      </c>
      <c r="E199" s="10" t="s">
        <v>390</v>
      </c>
      <c r="F199" s="46">
        <v>714</v>
      </c>
      <c r="G199" s="12">
        <f t="shared" si="3"/>
        <v>1.1235955056179776</v>
      </c>
      <c r="H199" s="66">
        <v>3788.14</v>
      </c>
      <c r="I199" s="40" t="s">
        <v>291</v>
      </c>
      <c r="J199" s="66">
        <v>8702450.1200000029</v>
      </c>
      <c r="K199" s="66">
        <v>47836157.819999993</v>
      </c>
    </row>
    <row r="200" spans="2:11" ht="31.5" x14ac:dyDescent="0.25">
      <c r="B200" s="17" t="s">
        <v>225</v>
      </c>
      <c r="C200" s="4" t="s">
        <v>180</v>
      </c>
      <c r="D200" s="21" t="s">
        <v>287</v>
      </c>
      <c r="E200" s="10" t="s">
        <v>390</v>
      </c>
      <c r="F200" s="46">
        <v>524</v>
      </c>
      <c r="G200" s="12">
        <f t="shared" si="3"/>
        <v>0.82459950272243732</v>
      </c>
      <c r="H200" s="66">
        <v>566.98</v>
      </c>
      <c r="I200" s="40" t="s">
        <v>291</v>
      </c>
      <c r="J200" s="66">
        <v>6174205.5000000019</v>
      </c>
      <c r="K200" s="66">
        <v>36019002.18</v>
      </c>
    </row>
    <row r="201" spans="2:11" ht="30" x14ac:dyDescent="0.25">
      <c r="B201" s="17" t="s">
        <v>226</v>
      </c>
      <c r="C201" s="4" t="s">
        <v>180</v>
      </c>
      <c r="D201" s="21" t="s">
        <v>287</v>
      </c>
      <c r="E201" s="10" t="s">
        <v>390</v>
      </c>
      <c r="F201" s="63">
        <v>1010</v>
      </c>
      <c r="G201" s="12">
        <f t="shared" si="3"/>
        <v>1.5893998048657665</v>
      </c>
      <c r="H201" s="65">
        <v>2695.45</v>
      </c>
      <c r="I201" s="40" t="s">
        <v>291</v>
      </c>
      <c r="J201" s="65">
        <v>13740001.83</v>
      </c>
      <c r="K201" s="65">
        <v>67517300.840000004</v>
      </c>
    </row>
    <row r="202" spans="2:11" ht="31.5" x14ac:dyDescent="0.25">
      <c r="B202" s="17" t="s">
        <v>227</v>
      </c>
      <c r="C202" s="4" t="s">
        <v>180</v>
      </c>
      <c r="D202" s="21" t="s">
        <v>287</v>
      </c>
      <c r="E202" s="10" t="s">
        <v>390</v>
      </c>
      <c r="F202" s="46">
        <v>717</v>
      </c>
      <c r="G202" s="12">
        <f t="shared" si="3"/>
        <v>1.1283164951373807</v>
      </c>
      <c r="H202" s="66">
        <v>1095.94</v>
      </c>
      <c r="I202" s="40" t="s">
        <v>291</v>
      </c>
      <c r="J202" s="66">
        <v>6255002.5900000008</v>
      </c>
      <c r="K202" s="66">
        <v>48730870.530000001</v>
      </c>
    </row>
    <row r="203" spans="2:11" ht="31.5" x14ac:dyDescent="0.25">
      <c r="B203" s="17" t="s">
        <v>228</v>
      </c>
      <c r="C203" s="4" t="s">
        <v>180</v>
      </c>
      <c r="D203" s="21" t="s">
        <v>287</v>
      </c>
      <c r="E203" s="10" t="s">
        <v>390</v>
      </c>
      <c r="F203" s="46">
        <v>893</v>
      </c>
      <c r="G203" s="12">
        <f t="shared" si="3"/>
        <v>1.4052812136090391</v>
      </c>
      <c r="H203" s="66">
        <v>1282.33</v>
      </c>
      <c r="I203" s="40" t="s">
        <v>291</v>
      </c>
      <c r="J203" s="66">
        <v>8837622.4199999999</v>
      </c>
      <c r="K203" s="66">
        <v>53860666.890000001</v>
      </c>
    </row>
    <row r="204" spans="2:11" ht="31.5" x14ac:dyDescent="0.25">
      <c r="B204" s="17" t="s">
        <v>229</v>
      </c>
      <c r="C204" s="4" t="s">
        <v>180</v>
      </c>
      <c r="D204" s="21" t="s">
        <v>287</v>
      </c>
      <c r="E204" s="10" t="s">
        <v>390</v>
      </c>
      <c r="F204" s="46">
        <v>721</v>
      </c>
      <c r="G204" s="12">
        <f t="shared" si="3"/>
        <v>1.1346111478299183</v>
      </c>
      <c r="H204" s="66">
        <v>71.14</v>
      </c>
      <c r="I204" s="40" t="s">
        <v>291</v>
      </c>
      <c r="J204" s="66">
        <v>70494892.310000002</v>
      </c>
      <c r="K204" s="66">
        <f>3684071.2+370269993.5</f>
        <v>373954064.69999999</v>
      </c>
    </row>
    <row r="205" spans="2:11" ht="31.5" x14ac:dyDescent="0.25">
      <c r="B205" s="17" t="s">
        <v>230</v>
      </c>
      <c r="C205" s="4" t="s">
        <v>180</v>
      </c>
      <c r="D205" s="21" t="s">
        <v>287</v>
      </c>
      <c r="E205" s="10" t="s">
        <v>390</v>
      </c>
      <c r="F205" s="46">
        <v>152</v>
      </c>
      <c r="G205" s="12">
        <f t="shared" si="3"/>
        <v>0.2391968023164322</v>
      </c>
      <c r="H205" s="66">
        <v>38.200000000000003</v>
      </c>
      <c r="I205" s="40" t="s">
        <v>291</v>
      </c>
      <c r="J205" s="66">
        <v>6539873.29</v>
      </c>
      <c r="K205" s="66">
        <v>77733797.209999993</v>
      </c>
    </row>
    <row r="206" spans="2:11" ht="31.5" x14ac:dyDescent="0.25">
      <c r="B206" s="17" t="s">
        <v>231</v>
      </c>
      <c r="C206" s="4" t="s">
        <v>180</v>
      </c>
      <c r="D206" s="21" t="s">
        <v>287</v>
      </c>
      <c r="E206" s="10" t="s">
        <v>390</v>
      </c>
      <c r="F206" s="63">
        <v>931</v>
      </c>
      <c r="G206" s="12">
        <f t="shared" si="3"/>
        <v>1.4650804141881473</v>
      </c>
      <c r="H206" s="65">
        <v>2109.81</v>
      </c>
      <c r="I206" s="40" t="s">
        <v>291</v>
      </c>
      <c r="J206" s="65">
        <v>12062389.619999999</v>
      </c>
      <c r="K206" s="65">
        <v>46124065.159999996</v>
      </c>
    </row>
    <row r="207" spans="2:11" ht="31.5" x14ac:dyDescent="0.25">
      <c r="B207" s="17" t="s">
        <v>232</v>
      </c>
      <c r="C207" s="4" t="s">
        <v>180</v>
      </c>
      <c r="D207" s="21" t="s">
        <v>287</v>
      </c>
      <c r="E207" s="10" t="s">
        <v>390</v>
      </c>
      <c r="F207" s="46">
        <v>370</v>
      </c>
      <c r="G207" s="12">
        <f t="shared" si="3"/>
        <v>0.58225537405973626</v>
      </c>
      <c r="H207" s="66">
        <v>135.75</v>
      </c>
      <c r="I207" s="40" t="s">
        <v>291</v>
      </c>
      <c r="J207" s="66">
        <v>12915483.58</v>
      </c>
      <c r="K207" s="66">
        <f>27074182.96+2421781.6</f>
        <v>29495964.560000002</v>
      </c>
    </row>
    <row r="208" spans="2:11" ht="30" x14ac:dyDescent="0.25">
      <c r="B208" s="17" t="s">
        <v>233</v>
      </c>
      <c r="C208" s="4" t="s">
        <v>180</v>
      </c>
      <c r="D208" s="21" t="s">
        <v>287</v>
      </c>
      <c r="E208" s="10" t="s">
        <v>390</v>
      </c>
      <c r="F208" s="63">
        <v>1135</v>
      </c>
      <c r="G208" s="12">
        <f t="shared" si="3"/>
        <v>1.7861077015075693</v>
      </c>
      <c r="H208" s="65">
        <v>2461.1</v>
      </c>
      <c r="I208" s="40" t="s">
        <v>291</v>
      </c>
      <c r="J208" s="65">
        <v>8811885.5700000003</v>
      </c>
      <c r="K208" s="65">
        <v>65378740</v>
      </c>
    </row>
    <row r="209" spans="2:11" ht="30" x14ac:dyDescent="0.25">
      <c r="B209" s="17" t="s">
        <v>234</v>
      </c>
      <c r="C209" s="4" t="s">
        <v>180</v>
      </c>
      <c r="D209" s="21" t="s">
        <v>287</v>
      </c>
      <c r="E209" s="10" t="s">
        <v>390</v>
      </c>
      <c r="F209" s="46">
        <v>654</v>
      </c>
      <c r="G209" s="12">
        <f t="shared" si="3"/>
        <v>1.0291757152299121</v>
      </c>
      <c r="H209" s="66">
        <v>2344.98</v>
      </c>
      <c r="I209" s="40" t="s">
        <v>291</v>
      </c>
      <c r="J209" s="66">
        <v>9174306.9700000025</v>
      </c>
      <c r="K209" s="66">
        <v>44645031.099999994</v>
      </c>
    </row>
    <row r="210" spans="2:11" ht="31.5" x14ac:dyDescent="0.25">
      <c r="B210" s="17" t="s">
        <v>235</v>
      </c>
      <c r="C210" s="4" t="s">
        <v>180</v>
      </c>
      <c r="D210" s="21" t="s">
        <v>287</v>
      </c>
      <c r="E210" s="10" t="s">
        <v>390</v>
      </c>
      <c r="F210" s="46">
        <v>882</v>
      </c>
      <c r="G210" s="12">
        <f t="shared" si="3"/>
        <v>1.3879709187045606</v>
      </c>
      <c r="H210" s="66">
        <v>386.42</v>
      </c>
      <c r="I210" s="40" t="s">
        <v>291</v>
      </c>
      <c r="J210" s="66">
        <v>13394306.57</v>
      </c>
      <c r="K210" s="66">
        <f>51568273.73+4834757.9</f>
        <v>56403031.629999995</v>
      </c>
    </row>
    <row r="211" spans="2:11" ht="30" x14ac:dyDescent="0.25">
      <c r="B211" s="17" t="s">
        <v>236</v>
      </c>
      <c r="C211" s="4" t="s">
        <v>180</v>
      </c>
      <c r="D211" s="21" t="s">
        <v>287</v>
      </c>
      <c r="E211" s="10" t="s">
        <v>390</v>
      </c>
      <c r="F211" s="63">
        <v>987</v>
      </c>
      <c r="G211" s="12">
        <f t="shared" si="3"/>
        <v>1.5532055518836747</v>
      </c>
      <c r="H211" s="65">
        <v>1021.25</v>
      </c>
      <c r="I211" s="40" t="s">
        <v>291</v>
      </c>
      <c r="J211" s="65">
        <v>9598959.7899999991</v>
      </c>
      <c r="K211" s="65">
        <v>60734169.270000003</v>
      </c>
    </row>
    <row r="212" spans="2:11" ht="31.5" x14ac:dyDescent="0.25">
      <c r="B212" s="17" t="s">
        <v>237</v>
      </c>
      <c r="C212" s="4" t="s">
        <v>180</v>
      </c>
      <c r="D212" s="21" t="s">
        <v>287</v>
      </c>
      <c r="E212" s="10" t="s">
        <v>390</v>
      </c>
      <c r="F212" s="46">
        <v>856</v>
      </c>
      <c r="G212" s="12">
        <f t="shared" si="3"/>
        <v>1.3470556762030657</v>
      </c>
      <c r="H212" s="66">
        <v>109.94</v>
      </c>
      <c r="I212" s="40" t="s">
        <v>291</v>
      </c>
      <c r="J212" s="66">
        <v>6837146.6600000001</v>
      </c>
      <c r="K212" s="66">
        <v>48784986.960000001</v>
      </c>
    </row>
    <row r="213" spans="2:11" ht="31.5" x14ac:dyDescent="0.25">
      <c r="B213" s="17" t="s">
        <v>238</v>
      </c>
      <c r="C213" s="4" t="s">
        <v>180</v>
      </c>
      <c r="D213" s="21" t="s">
        <v>287</v>
      </c>
      <c r="E213" s="10" t="s">
        <v>390</v>
      </c>
      <c r="F213" s="46">
        <v>951</v>
      </c>
      <c r="G213" s="12">
        <f t="shared" si="3"/>
        <v>1.4965536776508355</v>
      </c>
      <c r="H213" s="66">
        <v>451.22</v>
      </c>
      <c r="I213" s="40" t="s">
        <v>291</v>
      </c>
      <c r="J213" s="66">
        <v>8330500.54</v>
      </c>
      <c r="K213" s="66">
        <v>48135879.280000001</v>
      </c>
    </row>
    <row r="214" spans="2:11" ht="31.5" x14ac:dyDescent="0.25">
      <c r="B214" s="17" t="s">
        <v>239</v>
      </c>
      <c r="C214" s="4" t="s">
        <v>180</v>
      </c>
      <c r="D214" s="21" t="s">
        <v>287</v>
      </c>
      <c r="E214" s="10" t="s">
        <v>390</v>
      </c>
      <c r="F214" s="63">
        <v>751</v>
      </c>
      <c r="G214" s="12">
        <f t="shared" si="3"/>
        <v>1.1818210430239511</v>
      </c>
      <c r="H214" s="65">
        <v>589.84</v>
      </c>
      <c r="I214" s="40" t="s">
        <v>291</v>
      </c>
      <c r="J214" s="65">
        <v>8062298.6299999999</v>
      </c>
      <c r="K214" s="65">
        <v>35977286.759999998</v>
      </c>
    </row>
    <row r="215" spans="2:11" ht="30" x14ac:dyDescent="0.25">
      <c r="B215" s="17" t="s">
        <v>240</v>
      </c>
      <c r="C215" s="4" t="s">
        <v>180</v>
      </c>
      <c r="D215" s="21" t="s">
        <v>287</v>
      </c>
      <c r="E215" s="10" t="s">
        <v>390</v>
      </c>
      <c r="F215" s="46">
        <v>190</v>
      </c>
      <c r="G215" s="12">
        <f t="shared" si="3"/>
        <v>0.29899600289554024</v>
      </c>
      <c r="H215" s="66">
        <v>9884</v>
      </c>
      <c r="I215" s="40" t="s">
        <v>291</v>
      </c>
      <c r="J215" s="66">
        <v>7902297.2000000002</v>
      </c>
      <c r="K215" s="66">
        <v>56685366.609999999</v>
      </c>
    </row>
    <row r="216" spans="2:11" ht="31.5" x14ac:dyDescent="0.25">
      <c r="B216" s="17" t="s">
        <v>241</v>
      </c>
      <c r="C216" s="4" t="s">
        <v>180</v>
      </c>
      <c r="D216" s="21" t="s">
        <v>287</v>
      </c>
      <c r="E216" s="10" t="s">
        <v>390</v>
      </c>
      <c r="F216" s="63">
        <v>802</v>
      </c>
      <c r="G216" s="12">
        <f t="shared" si="3"/>
        <v>1.2620778648538067</v>
      </c>
      <c r="H216" s="65">
        <v>540.5</v>
      </c>
      <c r="I216" s="40" t="s">
        <v>291</v>
      </c>
      <c r="J216" s="65">
        <v>10264027.699999999</v>
      </c>
      <c r="K216" s="65">
        <v>44131930.170000002</v>
      </c>
    </row>
    <row r="217" spans="2:11" ht="31.5" x14ac:dyDescent="0.25">
      <c r="B217" s="17" t="s">
        <v>242</v>
      </c>
      <c r="C217" s="4" t="s">
        <v>180</v>
      </c>
      <c r="D217" s="21" t="s">
        <v>287</v>
      </c>
      <c r="E217" s="10" t="s">
        <v>390</v>
      </c>
      <c r="F217" s="46">
        <v>899</v>
      </c>
      <c r="G217" s="12">
        <f t="shared" si="3"/>
        <v>1.4147231926478456</v>
      </c>
      <c r="H217" s="66">
        <v>537.92999999999995</v>
      </c>
      <c r="I217" s="40" t="s">
        <v>291</v>
      </c>
      <c r="J217" s="66">
        <v>7718971.6500000004</v>
      </c>
      <c r="K217" s="66">
        <v>43725450.200000003</v>
      </c>
    </row>
    <row r="218" spans="2:11" ht="30" x14ac:dyDescent="0.25">
      <c r="B218" s="17" t="s">
        <v>243</v>
      </c>
      <c r="C218" s="4" t="s">
        <v>180</v>
      </c>
      <c r="D218" s="21" t="s">
        <v>287</v>
      </c>
      <c r="E218" s="10" t="s">
        <v>390</v>
      </c>
      <c r="F218" s="46">
        <v>143</v>
      </c>
      <c r="G218" s="12">
        <f t="shared" si="3"/>
        <v>0.22503383375822242</v>
      </c>
      <c r="H218" s="66">
        <v>277.8</v>
      </c>
      <c r="I218" s="40" t="s">
        <v>291</v>
      </c>
      <c r="J218" s="66">
        <v>4789129.97</v>
      </c>
      <c r="K218" s="66">
        <v>39513259.770000003</v>
      </c>
    </row>
    <row r="219" spans="2:11" ht="30" x14ac:dyDescent="0.25">
      <c r="B219" s="17" t="s">
        <v>244</v>
      </c>
      <c r="C219" s="4" t="s">
        <v>180</v>
      </c>
      <c r="D219" s="21" t="s">
        <v>287</v>
      </c>
      <c r="E219" s="10" t="s">
        <v>390</v>
      </c>
      <c r="F219" s="46">
        <v>969</v>
      </c>
      <c r="G219" s="12">
        <f t="shared" si="3"/>
        <v>1.5248796147672552</v>
      </c>
      <c r="H219" s="66">
        <v>1622.1</v>
      </c>
      <c r="I219" s="40" t="s">
        <v>291</v>
      </c>
      <c r="J219" s="66">
        <v>8669416.8100000005</v>
      </c>
      <c r="K219" s="66">
        <v>64329351.810000002</v>
      </c>
    </row>
    <row r="220" spans="2:11" ht="31.5" x14ac:dyDescent="0.25">
      <c r="B220" s="17" t="s">
        <v>245</v>
      </c>
      <c r="C220" s="4" t="s">
        <v>180</v>
      </c>
      <c r="D220" s="21" t="s">
        <v>287</v>
      </c>
      <c r="E220" s="10" t="s">
        <v>390</v>
      </c>
      <c r="F220" s="46">
        <v>910</v>
      </c>
      <c r="G220" s="12">
        <f t="shared" si="3"/>
        <v>1.4320334875523244</v>
      </c>
      <c r="H220" s="66">
        <v>2.63</v>
      </c>
      <c r="I220" s="40" t="s">
        <v>291</v>
      </c>
      <c r="J220" s="66">
        <v>14309386.710000001</v>
      </c>
      <c r="K220" s="66">
        <v>48477730.299999997</v>
      </c>
    </row>
    <row r="221" spans="2:11" ht="31.5" x14ac:dyDescent="0.25">
      <c r="B221" s="17" t="s">
        <v>246</v>
      </c>
      <c r="C221" s="4" t="s">
        <v>180</v>
      </c>
      <c r="D221" s="21" t="s">
        <v>287</v>
      </c>
      <c r="E221" s="10" t="s">
        <v>390</v>
      </c>
      <c r="F221" s="46">
        <v>776</v>
      </c>
      <c r="G221" s="12">
        <f t="shared" si="3"/>
        <v>1.2211626223523115</v>
      </c>
      <c r="H221" s="66">
        <v>1336.82</v>
      </c>
      <c r="I221" s="40" t="s">
        <v>291</v>
      </c>
      <c r="J221" s="66">
        <v>8928010.0800000001</v>
      </c>
      <c r="K221" s="66">
        <v>42602562.020000003</v>
      </c>
    </row>
    <row r="222" spans="2:11" ht="30" x14ac:dyDescent="0.25">
      <c r="B222" s="17" t="s">
        <v>247</v>
      </c>
      <c r="C222" s="4" t="s">
        <v>180</v>
      </c>
      <c r="D222" s="21" t="s">
        <v>287</v>
      </c>
      <c r="E222" s="10" t="s">
        <v>390</v>
      </c>
      <c r="F222" s="63">
        <v>1251</v>
      </c>
      <c r="G222" s="12">
        <f t="shared" si="3"/>
        <v>1.9686526295911624</v>
      </c>
      <c r="H222" s="65">
        <v>6236.74</v>
      </c>
      <c r="I222" s="40" t="s">
        <v>291</v>
      </c>
      <c r="J222" s="65">
        <v>10465731.84</v>
      </c>
      <c r="K222" s="65">
        <v>71778176.609999999</v>
      </c>
    </row>
    <row r="223" spans="2:11" ht="31.5" x14ac:dyDescent="0.25">
      <c r="B223" s="17" t="s">
        <v>248</v>
      </c>
      <c r="C223" s="4" t="s">
        <v>180</v>
      </c>
      <c r="D223" s="21" t="s">
        <v>287</v>
      </c>
      <c r="E223" s="10" t="s">
        <v>390</v>
      </c>
      <c r="F223" s="46">
        <v>923</v>
      </c>
      <c r="G223" s="12">
        <f t="shared" si="3"/>
        <v>1.4524911088030719</v>
      </c>
      <c r="H223" s="66">
        <v>958.6</v>
      </c>
      <c r="I223" s="40" t="s">
        <v>291</v>
      </c>
      <c r="J223" s="66">
        <v>9688254.4800000004</v>
      </c>
      <c r="K223" s="66">
        <v>43898325</v>
      </c>
    </row>
    <row r="224" spans="2:11" ht="31.5" x14ac:dyDescent="0.25">
      <c r="B224" s="17" t="s">
        <v>249</v>
      </c>
      <c r="C224" s="4" t="s">
        <v>180</v>
      </c>
      <c r="D224" s="21" t="s">
        <v>287</v>
      </c>
      <c r="E224" s="10" t="s">
        <v>390</v>
      </c>
      <c r="F224" s="46">
        <v>1025</v>
      </c>
      <c r="G224" s="12">
        <f t="shared" si="3"/>
        <v>1.6130047524627829</v>
      </c>
      <c r="H224" s="66">
        <v>1827.02</v>
      </c>
      <c r="I224" s="40" t="s">
        <v>291</v>
      </c>
      <c r="J224" s="66">
        <v>11319574.350000001</v>
      </c>
      <c r="K224" s="66">
        <v>61108948.969999999</v>
      </c>
    </row>
    <row r="225" spans="2:11" ht="31.5" x14ac:dyDescent="0.25">
      <c r="B225" s="17" t="s">
        <v>250</v>
      </c>
      <c r="C225" s="4" t="s">
        <v>180</v>
      </c>
      <c r="D225" s="21" t="s">
        <v>287</v>
      </c>
      <c r="E225" s="10" t="s">
        <v>390</v>
      </c>
      <c r="F225" s="46">
        <v>48</v>
      </c>
      <c r="G225" s="12">
        <f t="shared" si="3"/>
        <v>7.5535832310452272E-2</v>
      </c>
      <c r="H225" s="66">
        <v>1393.71</v>
      </c>
      <c r="I225" s="40" t="s">
        <v>291</v>
      </c>
      <c r="J225" s="66">
        <v>113420.24</v>
      </c>
      <c r="K225" s="66">
        <v>92517566.109999999</v>
      </c>
    </row>
    <row r="226" spans="2:11" ht="31.5" x14ac:dyDescent="0.25">
      <c r="B226" s="17" t="s">
        <v>251</v>
      </c>
      <c r="C226" s="4" t="s">
        <v>180</v>
      </c>
      <c r="D226" s="21" t="s">
        <v>287</v>
      </c>
      <c r="E226" s="10" t="s">
        <v>390</v>
      </c>
      <c r="F226" s="63">
        <v>1087</v>
      </c>
      <c r="G226" s="12">
        <f t="shared" si="3"/>
        <v>1.710571869197117</v>
      </c>
      <c r="H226" s="65">
        <v>1356.59</v>
      </c>
      <c r="I226" s="40" t="s">
        <v>291</v>
      </c>
      <c r="J226" s="65">
        <v>25230799.210000001</v>
      </c>
      <c r="K226" s="65">
        <v>58633596.450000003</v>
      </c>
    </row>
    <row r="227" spans="2:11" ht="31.5" x14ac:dyDescent="0.25">
      <c r="B227" s="17" t="s">
        <v>252</v>
      </c>
      <c r="C227" s="4" t="s">
        <v>180</v>
      </c>
      <c r="D227" s="21" t="s">
        <v>287</v>
      </c>
      <c r="E227" s="10" t="s">
        <v>390</v>
      </c>
      <c r="F227" s="46">
        <v>505</v>
      </c>
      <c r="G227" s="12">
        <f t="shared" si="3"/>
        <v>0.79469990243288324</v>
      </c>
      <c r="H227" s="66">
        <v>585.67999999999995</v>
      </c>
      <c r="I227" s="40" t="s">
        <v>291</v>
      </c>
      <c r="J227" s="66">
        <v>11276071.779999999</v>
      </c>
      <c r="K227" s="66">
        <f>32312591.15+2054848.4</f>
        <v>34367439.549999997</v>
      </c>
    </row>
    <row r="228" spans="2:11" ht="30" x14ac:dyDescent="0.25">
      <c r="B228" s="17" t="s">
        <v>253</v>
      </c>
      <c r="C228" s="4" t="s">
        <v>180</v>
      </c>
      <c r="D228" s="21" t="s">
        <v>287</v>
      </c>
      <c r="E228" s="10" t="s">
        <v>390</v>
      </c>
      <c r="F228" s="63">
        <v>1011</v>
      </c>
      <c r="G228" s="12">
        <f t="shared" si="3"/>
        <v>1.5909734680389012</v>
      </c>
      <c r="H228" s="65">
        <v>6857.97</v>
      </c>
      <c r="I228" s="40" t="s">
        <v>291</v>
      </c>
      <c r="J228" s="65">
        <v>19794994.210000001</v>
      </c>
      <c r="K228" s="65">
        <v>57899455</v>
      </c>
    </row>
    <row r="229" spans="2:11" ht="31.5" x14ac:dyDescent="0.25">
      <c r="B229" s="17" t="s">
        <v>254</v>
      </c>
      <c r="C229" s="4" t="s">
        <v>180</v>
      </c>
      <c r="D229" s="21" t="s">
        <v>287</v>
      </c>
      <c r="E229" s="10" t="s">
        <v>390</v>
      </c>
      <c r="F229" s="46">
        <v>756</v>
      </c>
      <c r="G229" s="12">
        <f t="shared" si="3"/>
        <v>1.1896893588896233</v>
      </c>
      <c r="H229" s="66">
        <v>344.94</v>
      </c>
      <c r="I229" s="40" t="s">
        <v>291</v>
      </c>
      <c r="J229" s="66">
        <v>7505137.3799999999</v>
      </c>
      <c r="K229" s="66">
        <v>36792185.020000003</v>
      </c>
    </row>
    <row r="230" spans="2:11" ht="47.25" x14ac:dyDescent="0.25">
      <c r="B230" s="17" t="s">
        <v>255</v>
      </c>
      <c r="C230" s="4" t="s">
        <v>180</v>
      </c>
      <c r="D230" s="21" t="s">
        <v>287</v>
      </c>
      <c r="E230" s="10" t="s">
        <v>390</v>
      </c>
      <c r="F230" s="63">
        <v>899</v>
      </c>
      <c r="G230" s="12">
        <f t="shared" si="3"/>
        <v>1.4147231926478456</v>
      </c>
      <c r="H230" s="65">
        <v>5880.3</v>
      </c>
      <c r="I230" s="40" t="s">
        <v>291</v>
      </c>
      <c r="J230" s="65">
        <v>7528547.7000000002</v>
      </c>
      <c r="K230" s="65">
        <v>58000084.810000002</v>
      </c>
    </row>
    <row r="231" spans="2:11" ht="30" x14ac:dyDescent="0.25">
      <c r="B231" s="17" t="s">
        <v>256</v>
      </c>
      <c r="C231" s="4" t="s">
        <v>180</v>
      </c>
      <c r="D231" s="21" t="s">
        <v>287</v>
      </c>
      <c r="E231" s="10" t="s">
        <v>390</v>
      </c>
      <c r="F231" s="46">
        <v>900</v>
      </c>
      <c r="G231" s="12">
        <f t="shared" si="3"/>
        <v>1.4162968558209801</v>
      </c>
      <c r="H231" s="66">
        <v>1450.96</v>
      </c>
      <c r="I231" s="40" t="s">
        <v>291</v>
      </c>
      <c r="J231" s="66">
        <v>6658999.3399999999</v>
      </c>
      <c r="K231" s="66">
        <f>55803140.36+4853054.67</f>
        <v>60656195.030000001</v>
      </c>
    </row>
    <row r="232" spans="2:11" ht="30" x14ac:dyDescent="0.25">
      <c r="B232" s="17" t="s">
        <v>257</v>
      </c>
      <c r="C232" s="4" t="s">
        <v>180</v>
      </c>
      <c r="D232" s="21" t="s">
        <v>287</v>
      </c>
      <c r="E232" s="10" t="s">
        <v>390</v>
      </c>
      <c r="F232" s="46">
        <v>1048</v>
      </c>
      <c r="G232" s="12">
        <f t="shared" si="3"/>
        <v>1.6491990054448746</v>
      </c>
      <c r="H232" s="66">
        <v>2254.9299999999998</v>
      </c>
      <c r="I232" s="40" t="s">
        <v>291</v>
      </c>
      <c r="J232" s="66">
        <v>17369626.239999998</v>
      </c>
      <c r="K232" s="66">
        <v>65675974.159999996</v>
      </c>
    </row>
    <row r="233" spans="2:11" ht="31.5" x14ac:dyDescent="0.25">
      <c r="B233" s="17" t="s">
        <v>258</v>
      </c>
      <c r="C233" s="4" t="s">
        <v>180</v>
      </c>
      <c r="D233" s="21" t="s">
        <v>287</v>
      </c>
      <c r="E233" s="10" t="s">
        <v>390</v>
      </c>
      <c r="F233" s="46">
        <v>898</v>
      </c>
      <c r="G233" s="12">
        <f t="shared" si="3"/>
        <v>1.4131495294747114</v>
      </c>
      <c r="H233" s="66">
        <v>1680.9</v>
      </c>
      <c r="I233" s="40" t="s">
        <v>291</v>
      </c>
      <c r="J233" s="66">
        <v>9802428.5600000005</v>
      </c>
      <c r="K233" s="66">
        <v>50907722.240000002</v>
      </c>
    </row>
    <row r="234" spans="2:11" ht="30" x14ac:dyDescent="0.25">
      <c r="B234" s="17" t="s">
        <v>259</v>
      </c>
      <c r="C234" s="4" t="s">
        <v>180</v>
      </c>
      <c r="D234" s="21" t="s">
        <v>287</v>
      </c>
      <c r="E234" s="10" t="s">
        <v>390</v>
      </c>
      <c r="F234" s="46">
        <v>154</v>
      </c>
      <c r="G234" s="12">
        <f t="shared" si="3"/>
        <v>0.24234412866270105</v>
      </c>
      <c r="H234" s="66">
        <v>1231.21</v>
      </c>
      <c r="I234" s="40" t="s">
        <v>291</v>
      </c>
      <c r="J234" s="66">
        <v>4720113.8600000003</v>
      </c>
      <c r="K234" s="66">
        <v>41409536.729999997</v>
      </c>
    </row>
    <row r="235" spans="2:11" ht="31.5" x14ac:dyDescent="0.25">
      <c r="B235" s="17" t="s">
        <v>260</v>
      </c>
      <c r="C235" s="4" t="s">
        <v>180</v>
      </c>
      <c r="D235" s="21" t="s">
        <v>287</v>
      </c>
      <c r="E235" s="10" t="s">
        <v>390</v>
      </c>
      <c r="F235" s="46">
        <v>1056</v>
      </c>
      <c r="G235" s="12">
        <f t="shared" si="3"/>
        <v>1.66178831082995</v>
      </c>
      <c r="H235" s="66">
        <v>1318.67</v>
      </c>
      <c r="I235" s="40" t="s">
        <v>291</v>
      </c>
      <c r="J235" s="66">
        <v>22835316.509999998</v>
      </c>
      <c r="K235" s="66">
        <v>62735680.130000003</v>
      </c>
    </row>
    <row r="236" spans="2:11" ht="30" x14ac:dyDescent="0.25">
      <c r="B236" s="17" t="s">
        <v>261</v>
      </c>
      <c r="C236" s="4" t="s">
        <v>180</v>
      </c>
      <c r="D236" s="21" t="s">
        <v>287</v>
      </c>
      <c r="E236" s="10" t="s">
        <v>390</v>
      </c>
      <c r="F236" s="46">
        <v>152</v>
      </c>
      <c r="G236" s="12">
        <f t="shared" si="3"/>
        <v>0.2391968023164322</v>
      </c>
      <c r="H236" s="66">
        <v>164.69</v>
      </c>
      <c r="I236" s="40" t="s">
        <v>291</v>
      </c>
      <c r="J236" s="66">
        <v>4055947.64</v>
      </c>
      <c r="K236" s="66">
        <v>38896478.079999998</v>
      </c>
    </row>
    <row r="237" spans="2:11" ht="31.5" x14ac:dyDescent="0.25">
      <c r="B237" s="17" t="s">
        <v>262</v>
      </c>
      <c r="C237" s="4" t="s">
        <v>180</v>
      </c>
      <c r="D237" s="21" t="s">
        <v>287</v>
      </c>
      <c r="E237" s="10" t="s">
        <v>390</v>
      </c>
      <c r="F237" s="46">
        <v>966</v>
      </c>
      <c r="G237" s="12">
        <f t="shared" ref="G237:G261" si="4">(F237/$F$262)*100</f>
        <v>1.5201586252478521</v>
      </c>
      <c r="H237" s="66">
        <v>332.57</v>
      </c>
      <c r="I237" s="40" t="s">
        <v>291</v>
      </c>
      <c r="J237" s="66">
        <v>38826630.789999999</v>
      </c>
      <c r="K237" s="66">
        <v>56685763.980000004</v>
      </c>
    </row>
    <row r="238" spans="2:11" ht="30" x14ac:dyDescent="0.25">
      <c r="B238" s="17" t="s">
        <v>263</v>
      </c>
      <c r="C238" s="4" t="s">
        <v>180</v>
      </c>
      <c r="D238" s="21" t="s">
        <v>287</v>
      </c>
      <c r="E238" s="10" t="s">
        <v>390</v>
      </c>
      <c r="F238" s="46">
        <v>200</v>
      </c>
      <c r="G238" s="12">
        <f t="shared" si="4"/>
        <v>0.31473263462688444</v>
      </c>
      <c r="H238" s="66">
        <v>674.44</v>
      </c>
      <c r="I238" s="40" t="s">
        <v>291</v>
      </c>
      <c r="J238" s="66">
        <v>10339272.310000001</v>
      </c>
      <c r="K238" s="66">
        <v>56279123.030000001</v>
      </c>
    </row>
    <row r="239" spans="2:11" ht="30" x14ac:dyDescent="0.25">
      <c r="B239" s="17" t="s">
        <v>264</v>
      </c>
      <c r="C239" s="4" t="s">
        <v>180</v>
      </c>
      <c r="D239" s="21" t="s">
        <v>287</v>
      </c>
      <c r="E239" s="10" t="s">
        <v>390</v>
      </c>
      <c r="F239" s="46"/>
      <c r="G239" s="12">
        <f t="shared" si="4"/>
        <v>0</v>
      </c>
      <c r="H239" s="66"/>
      <c r="I239" s="40" t="s">
        <v>291</v>
      </c>
      <c r="J239" s="66"/>
      <c r="K239" s="66"/>
    </row>
    <row r="240" spans="2:11" ht="31.5" x14ac:dyDescent="0.25">
      <c r="B240" s="17" t="s">
        <v>265</v>
      </c>
      <c r="C240" s="4" t="s">
        <v>180</v>
      </c>
      <c r="D240" s="21" t="s">
        <v>287</v>
      </c>
      <c r="E240" s="10" t="s">
        <v>390</v>
      </c>
      <c r="F240" s="46">
        <v>478</v>
      </c>
      <c r="G240" s="12">
        <f t="shared" si="4"/>
        <v>0.75221099675825387</v>
      </c>
      <c r="H240" s="66">
        <v>325.20999999999998</v>
      </c>
      <c r="I240" s="40" t="s">
        <v>291</v>
      </c>
      <c r="J240" s="66">
        <v>7421217.2599999998</v>
      </c>
      <c r="K240" s="66">
        <v>22376171.489999998</v>
      </c>
    </row>
    <row r="241" spans="2:11" ht="31.5" x14ac:dyDescent="0.25">
      <c r="B241" s="17" t="s">
        <v>266</v>
      </c>
      <c r="C241" s="4" t="s">
        <v>180</v>
      </c>
      <c r="D241" s="21" t="s">
        <v>287</v>
      </c>
      <c r="E241" s="10" t="s">
        <v>390</v>
      </c>
      <c r="F241" s="46">
        <v>135</v>
      </c>
      <c r="G241" s="12">
        <f t="shared" si="4"/>
        <v>0.21244452837314701</v>
      </c>
      <c r="H241" s="66">
        <v>51.13</v>
      </c>
      <c r="I241" s="40" t="s">
        <v>291</v>
      </c>
      <c r="J241" s="66">
        <v>5762818.5</v>
      </c>
      <c r="K241" s="66">
        <v>49072053.189999998</v>
      </c>
    </row>
    <row r="242" spans="2:11" ht="31.5" x14ac:dyDescent="0.25">
      <c r="B242" s="17" t="s">
        <v>267</v>
      </c>
      <c r="C242" s="4" t="s">
        <v>180</v>
      </c>
      <c r="D242" s="21" t="s">
        <v>287</v>
      </c>
      <c r="E242" s="10" t="s">
        <v>390</v>
      </c>
      <c r="F242" s="46">
        <v>391</v>
      </c>
      <c r="G242" s="12">
        <f t="shared" si="4"/>
        <v>0.61530230069555913</v>
      </c>
      <c r="H242" s="66">
        <v>204.7</v>
      </c>
      <c r="I242" s="40" t="s">
        <v>291</v>
      </c>
      <c r="J242" s="66">
        <v>5177635.84</v>
      </c>
      <c r="K242" s="66">
        <v>23086795.559999999</v>
      </c>
    </row>
    <row r="243" spans="2:11" ht="31.5" x14ac:dyDescent="0.25">
      <c r="B243" s="17" t="s">
        <v>268</v>
      </c>
      <c r="C243" s="4" t="s">
        <v>180</v>
      </c>
      <c r="D243" s="21" t="s">
        <v>287</v>
      </c>
      <c r="E243" s="10" t="s">
        <v>390</v>
      </c>
      <c r="F243" s="63">
        <v>748</v>
      </c>
      <c r="G243" s="12">
        <f t="shared" si="4"/>
        <v>1.1771000535045479</v>
      </c>
      <c r="H243" s="65">
        <v>1043.24</v>
      </c>
      <c r="I243" s="40" t="s">
        <v>291</v>
      </c>
      <c r="J243" s="65">
        <v>6485940.4299999997</v>
      </c>
      <c r="K243" s="65">
        <v>40575951.060000002</v>
      </c>
    </row>
    <row r="244" spans="2:11" ht="31.5" x14ac:dyDescent="0.25">
      <c r="B244" s="17" t="s">
        <v>269</v>
      </c>
      <c r="C244" s="4" t="s">
        <v>180</v>
      </c>
      <c r="D244" s="21" t="s">
        <v>287</v>
      </c>
      <c r="E244" s="10" t="s">
        <v>390</v>
      </c>
      <c r="F244" s="46">
        <v>657</v>
      </c>
      <c r="G244" s="12">
        <f t="shared" si="4"/>
        <v>1.0338967047493155</v>
      </c>
      <c r="H244" s="66">
        <v>164.56</v>
      </c>
      <c r="I244" s="40" t="s">
        <v>291</v>
      </c>
      <c r="J244" s="66">
        <v>5200299.51</v>
      </c>
      <c r="K244" s="66">
        <f>3137487.9+37357950.87</f>
        <v>40495438.769999996</v>
      </c>
    </row>
    <row r="245" spans="2:11" ht="31.5" x14ac:dyDescent="0.25">
      <c r="B245" s="17" t="s">
        <v>270</v>
      </c>
      <c r="C245" s="4" t="s">
        <v>180</v>
      </c>
      <c r="D245" s="21" t="s">
        <v>287</v>
      </c>
      <c r="E245" s="10" t="s">
        <v>390</v>
      </c>
      <c r="F245" s="46">
        <v>802</v>
      </c>
      <c r="G245" s="12">
        <f t="shared" si="4"/>
        <v>1.2620778648538067</v>
      </c>
      <c r="H245" s="66">
        <v>0</v>
      </c>
      <c r="I245" s="40" t="s">
        <v>291</v>
      </c>
      <c r="J245" s="66">
        <v>7773700.9799999995</v>
      </c>
      <c r="K245" s="66">
        <v>47155939.170000002</v>
      </c>
    </row>
    <row r="246" spans="2:11" ht="31.5" x14ac:dyDescent="0.25">
      <c r="B246" s="17" t="s">
        <v>271</v>
      </c>
      <c r="C246" s="4" t="s">
        <v>180</v>
      </c>
      <c r="D246" s="21" t="s">
        <v>287</v>
      </c>
      <c r="E246" s="10" t="s">
        <v>390</v>
      </c>
      <c r="F246" s="46">
        <v>1057</v>
      </c>
      <c r="G246" s="12">
        <f t="shared" si="4"/>
        <v>1.6633619740030845</v>
      </c>
      <c r="H246" s="66">
        <v>1521.44</v>
      </c>
      <c r="I246" s="40" t="s">
        <v>291</v>
      </c>
      <c r="J246" s="66">
        <v>9386762.4700000007</v>
      </c>
      <c r="K246" s="66">
        <v>61723013.539999999</v>
      </c>
    </row>
    <row r="247" spans="2:11" ht="31.5" x14ac:dyDescent="0.25">
      <c r="B247" s="17" t="s">
        <v>272</v>
      </c>
      <c r="C247" s="4" t="s">
        <v>180</v>
      </c>
      <c r="D247" s="21" t="s">
        <v>287</v>
      </c>
      <c r="E247" s="10" t="s">
        <v>390</v>
      </c>
      <c r="F247" s="63">
        <v>1074</v>
      </c>
      <c r="G247" s="12">
        <f t="shared" si="4"/>
        <v>1.6901142479463696</v>
      </c>
      <c r="H247" s="65">
        <v>2264.39</v>
      </c>
      <c r="I247" s="40" t="s">
        <v>291</v>
      </c>
      <c r="J247" s="65">
        <v>8338425.8099999996</v>
      </c>
      <c r="K247" s="65">
        <v>59007771.049999997</v>
      </c>
    </row>
    <row r="248" spans="2:11" ht="31.5" x14ac:dyDescent="0.25">
      <c r="B248" s="17" t="s">
        <v>273</v>
      </c>
      <c r="C248" s="4" t="s">
        <v>180</v>
      </c>
      <c r="D248" s="21" t="s">
        <v>287</v>
      </c>
      <c r="E248" s="10" t="s">
        <v>390</v>
      </c>
      <c r="F248" s="46">
        <v>1061</v>
      </c>
      <c r="G248" s="12">
        <f t="shared" si="4"/>
        <v>1.6696566266956221</v>
      </c>
      <c r="H248" s="66">
        <v>2067.46</v>
      </c>
      <c r="I248" s="40" t="s">
        <v>291</v>
      </c>
      <c r="J248" s="66">
        <v>18089761.73</v>
      </c>
      <c r="K248" s="66">
        <v>54428703.990000002</v>
      </c>
    </row>
    <row r="249" spans="2:11" ht="31.5" x14ac:dyDescent="0.25">
      <c r="B249" s="17" t="s">
        <v>274</v>
      </c>
      <c r="C249" s="4" t="s">
        <v>180</v>
      </c>
      <c r="D249" s="21" t="s">
        <v>287</v>
      </c>
      <c r="E249" s="10" t="s">
        <v>390</v>
      </c>
      <c r="F249" s="46">
        <v>665</v>
      </c>
      <c r="G249" s="12">
        <f t="shared" si="4"/>
        <v>1.0464860101343909</v>
      </c>
      <c r="H249" s="66">
        <v>215.9</v>
      </c>
      <c r="I249" s="40" t="s">
        <v>291</v>
      </c>
      <c r="J249" s="66">
        <v>7136351.3399999999</v>
      </c>
      <c r="K249" s="66">
        <v>32394553.280000001</v>
      </c>
    </row>
    <row r="250" spans="2:11" ht="31.5" x14ac:dyDescent="0.25">
      <c r="B250" s="17" t="s">
        <v>275</v>
      </c>
      <c r="C250" s="4" t="s">
        <v>180</v>
      </c>
      <c r="D250" s="21" t="s">
        <v>287</v>
      </c>
      <c r="E250" s="10" t="s">
        <v>390</v>
      </c>
      <c r="F250" s="63">
        <v>552</v>
      </c>
      <c r="G250" s="12">
        <f t="shared" si="4"/>
        <v>0.86866207157020103</v>
      </c>
      <c r="H250" s="65">
        <v>1472.01</v>
      </c>
      <c r="I250" s="40" t="s">
        <v>291</v>
      </c>
      <c r="J250" s="65">
        <v>6252588.3499999996</v>
      </c>
      <c r="K250" s="65">
        <v>36612856.770000003</v>
      </c>
    </row>
    <row r="251" spans="2:11" ht="31.5" x14ac:dyDescent="0.25">
      <c r="B251" s="17" t="s">
        <v>276</v>
      </c>
      <c r="C251" s="4" t="s">
        <v>180</v>
      </c>
      <c r="D251" s="21" t="s">
        <v>287</v>
      </c>
      <c r="E251" s="10" t="s">
        <v>390</v>
      </c>
      <c r="F251" s="46">
        <v>738</v>
      </c>
      <c r="G251" s="12">
        <f t="shared" si="4"/>
        <v>1.1613634217732036</v>
      </c>
      <c r="H251" s="66">
        <v>0</v>
      </c>
      <c r="I251" s="40" t="s">
        <v>291</v>
      </c>
      <c r="J251" s="66">
        <v>11178784.279999999</v>
      </c>
      <c r="K251" s="66">
        <v>44620440.269999996</v>
      </c>
    </row>
    <row r="252" spans="2:11" ht="31.5" x14ac:dyDescent="0.25">
      <c r="B252" s="17" t="s">
        <v>277</v>
      </c>
      <c r="C252" s="4" t="s">
        <v>180</v>
      </c>
      <c r="D252" s="21" t="s">
        <v>287</v>
      </c>
      <c r="E252" s="10" t="s">
        <v>390</v>
      </c>
      <c r="F252" s="63">
        <v>524</v>
      </c>
      <c r="G252" s="12">
        <f t="shared" si="4"/>
        <v>0.82459950272243732</v>
      </c>
      <c r="H252" s="65">
        <v>211.66</v>
      </c>
      <c r="I252" s="40" t="s">
        <v>291</v>
      </c>
      <c r="J252" s="65">
        <v>8188223.8600000003</v>
      </c>
      <c r="K252" s="65">
        <v>38685436.729999997</v>
      </c>
    </row>
    <row r="253" spans="2:11" ht="30" x14ac:dyDescent="0.25">
      <c r="B253" s="17" t="s">
        <v>278</v>
      </c>
      <c r="C253" s="4" t="s">
        <v>180</v>
      </c>
      <c r="D253" s="21" t="s">
        <v>287</v>
      </c>
      <c r="E253" s="10" t="s">
        <v>390</v>
      </c>
      <c r="F253" s="46">
        <v>851</v>
      </c>
      <c r="G253" s="12">
        <f t="shared" si="4"/>
        <v>1.3391873603373934</v>
      </c>
      <c r="H253" s="66">
        <v>2952.01</v>
      </c>
      <c r="I253" s="40" t="s">
        <v>291</v>
      </c>
      <c r="J253" s="66">
        <v>4889819.34</v>
      </c>
      <c r="K253" s="66">
        <v>48786469.210000001</v>
      </c>
    </row>
    <row r="254" spans="2:11" ht="30" x14ac:dyDescent="0.25">
      <c r="B254" s="17" t="s">
        <v>279</v>
      </c>
      <c r="C254" s="4" t="s">
        <v>180</v>
      </c>
      <c r="D254" s="21" t="s">
        <v>287</v>
      </c>
      <c r="E254" s="10" t="s">
        <v>390</v>
      </c>
      <c r="F254" s="46">
        <v>56</v>
      </c>
      <c r="G254" s="12">
        <f t="shared" si="4"/>
        <v>8.8125137695527642E-2</v>
      </c>
      <c r="H254" s="66">
        <v>2366.4</v>
      </c>
      <c r="I254" s="40" t="s">
        <v>291</v>
      </c>
      <c r="J254" s="66">
        <v>1968882.77</v>
      </c>
      <c r="K254" s="66">
        <v>25934113.920000002</v>
      </c>
    </row>
    <row r="255" spans="2:11" ht="31.5" x14ac:dyDescent="0.25">
      <c r="B255" s="17" t="s">
        <v>280</v>
      </c>
      <c r="C255" s="4" t="s">
        <v>180</v>
      </c>
      <c r="D255" s="21" t="s">
        <v>287</v>
      </c>
      <c r="E255" s="10" t="s">
        <v>390</v>
      </c>
      <c r="F255" s="46">
        <v>1103</v>
      </c>
      <c r="G255" s="12">
        <f t="shared" si="4"/>
        <v>1.7357504799672678</v>
      </c>
      <c r="H255" s="66">
        <v>3316.43</v>
      </c>
      <c r="I255" s="40" t="s">
        <v>291</v>
      </c>
      <c r="J255" s="66">
        <v>23625132.879999999</v>
      </c>
      <c r="K255" s="66">
        <v>63478189.990000002</v>
      </c>
    </row>
    <row r="256" spans="2:11" ht="31.5" x14ac:dyDescent="0.25">
      <c r="B256" s="17" t="s">
        <v>281</v>
      </c>
      <c r="C256" s="4" t="s">
        <v>180</v>
      </c>
      <c r="D256" s="21" t="s">
        <v>287</v>
      </c>
      <c r="E256" s="10" t="s">
        <v>390</v>
      </c>
      <c r="F256" s="46">
        <v>1003</v>
      </c>
      <c r="G256" s="12">
        <f t="shared" si="4"/>
        <v>1.5783841626538255</v>
      </c>
      <c r="H256" s="66">
        <v>2333.15</v>
      </c>
      <c r="I256" s="40" t="s">
        <v>291</v>
      </c>
      <c r="J256" s="66">
        <v>14210087.460000001</v>
      </c>
      <c r="K256" s="66">
        <v>57811049.280000001</v>
      </c>
    </row>
    <row r="257" spans="2:11" ht="30" x14ac:dyDescent="0.25">
      <c r="B257" s="17" t="s">
        <v>282</v>
      </c>
      <c r="C257" s="4" t="s">
        <v>180</v>
      </c>
      <c r="D257" s="21" t="s">
        <v>287</v>
      </c>
      <c r="E257" s="10" t="s">
        <v>390</v>
      </c>
      <c r="F257" s="63">
        <v>876</v>
      </c>
      <c r="G257" s="12">
        <f t="shared" si="4"/>
        <v>1.3785289396657538</v>
      </c>
      <c r="H257" s="65">
        <v>683.11</v>
      </c>
      <c r="I257" s="40" t="s">
        <v>291</v>
      </c>
      <c r="J257" s="65">
        <v>19102079.280000001</v>
      </c>
      <c r="K257" s="65">
        <v>53093103.149999999</v>
      </c>
    </row>
    <row r="258" spans="2:11" ht="47.25" x14ac:dyDescent="0.25">
      <c r="B258" s="17" t="s">
        <v>283</v>
      </c>
      <c r="C258" s="4" t="s">
        <v>180</v>
      </c>
      <c r="D258" s="21" t="s">
        <v>287</v>
      </c>
      <c r="E258" s="10" t="s">
        <v>390</v>
      </c>
      <c r="F258" s="46">
        <v>1033</v>
      </c>
      <c r="G258" s="12">
        <f t="shared" si="4"/>
        <v>1.625594057847858</v>
      </c>
      <c r="H258" s="66" t="s">
        <v>416</v>
      </c>
      <c r="I258" s="40" t="s">
        <v>291</v>
      </c>
      <c r="J258" s="66">
        <v>27655210.949999999</v>
      </c>
      <c r="K258" s="66">
        <v>70380700.040000007</v>
      </c>
    </row>
    <row r="259" spans="2:11" ht="30" x14ac:dyDescent="0.25">
      <c r="B259" s="17" t="s">
        <v>284</v>
      </c>
      <c r="C259" s="4" t="s">
        <v>180</v>
      </c>
      <c r="D259" s="21" t="s">
        <v>287</v>
      </c>
      <c r="E259" s="10" t="s">
        <v>390</v>
      </c>
      <c r="F259" s="46">
        <v>190</v>
      </c>
      <c r="G259" s="12">
        <f t="shared" si="4"/>
        <v>0.29899600289554024</v>
      </c>
      <c r="H259" s="66">
        <v>3810.91</v>
      </c>
      <c r="I259" s="40" t="s">
        <v>291</v>
      </c>
      <c r="J259" s="66">
        <v>8331000</v>
      </c>
      <c r="K259" s="66">
        <v>350310611.77999997</v>
      </c>
    </row>
    <row r="260" spans="2:11" ht="30" x14ac:dyDescent="0.25">
      <c r="B260" s="17" t="s">
        <v>285</v>
      </c>
      <c r="C260" s="4" t="s">
        <v>180</v>
      </c>
      <c r="D260" s="21" t="s">
        <v>287</v>
      </c>
      <c r="E260" s="10" t="s">
        <v>390</v>
      </c>
      <c r="F260" s="46">
        <v>56</v>
      </c>
      <c r="G260" s="12">
        <f t="shared" si="4"/>
        <v>8.8125137695527642E-2</v>
      </c>
      <c r="H260" s="66">
        <v>340.06</v>
      </c>
      <c r="I260" s="40" t="s">
        <v>291</v>
      </c>
      <c r="J260" s="66">
        <v>35723</v>
      </c>
      <c r="K260" s="66">
        <v>57035748.75</v>
      </c>
    </row>
    <row r="261" spans="2:11" ht="30" x14ac:dyDescent="0.25">
      <c r="B261" s="17" t="s">
        <v>286</v>
      </c>
      <c r="C261" s="4" t="s">
        <v>180</v>
      </c>
      <c r="D261" s="21" t="s">
        <v>287</v>
      </c>
      <c r="E261" s="10" t="s">
        <v>390</v>
      </c>
      <c r="F261" s="46">
        <v>69</v>
      </c>
      <c r="G261" s="12">
        <f t="shared" si="4"/>
        <v>0.10858275894627513</v>
      </c>
      <c r="H261" s="66">
        <v>4019.4</v>
      </c>
      <c r="I261" s="40" t="s">
        <v>291</v>
      </c>
      <c r="J261" s="66">
        <v>94052.07</v>
      </c>
      <c r="K261" s="66">
        <v>97841373.920000002</v>
      </c>
    </row>
    <row r="262" spans="2:11" ht="15" customHeight="1" x14ac:dyDescent="0.25">
      <c r="B262" s="68" t="s">
        <v>365</v>
      </c>
      <c r="C262" s="71"/>
      <c r="D262" s="72"/>
      <c r="E262" s="90" t="s">
        <v>390</v>
      </c>
      <c r="F262" s="27">
        <f>F263+F264</f>
        <v>63546</v>
      </c>
      <c r="G262" s="25">
        <f>SUM(G263:G264)</f>
        <v>99.999999999999929</v>
      </c>
      <c r="H262" s="28" t="s">
        <v>291</v>
      </c>
      <c r="I262" s="23" t="s">
        <v>291</v>
      </c>
      <c r="J262" s="29" t="s">
        <v>291</v>
      </c>
      <c r="K262" s="29" t="s">
        <v>291</v>
      </c>
    </row>
    <row r="263" spans="2:11" ht="15" customHeight="1" x14ac:dyDescent="0.25">
      <c r="B263" s="68" t="s">
        <v>366</v>
      </c>
      <c r="C263" s="71"/>
      <c r="D263" s="72"/>
      <c r="E263" s="91"/>
      <c r="F263" s="27">
        <f>SUM(F172:F261)</f>
        <v>63025</v>
      </c>
      <c r="G263" s="25">
        <f>SUM(G172:G261)</f>
        <v>99.180121486796892</v>
      </c>
      <c r="H263" s="28" t="s">
        <v>291</v>
      </c>
      <c r="I263" s="23" t="s">
        <v>291</v>
      </c>
      <c r="J263" s="29" t="s">
        <v>291</v>
      </c>
      <c r="K263" s="29" t="s">
        <v>291</v>
      </c>
    </row>
    <row r="264" spans="2:11" ht="15" customHeight="1" x14ac:dyDescent="0.25">
      <c r="B264" s="73" t="s">
        <v>367</v>
      </c>
      <c r="C264" s="73"/>
      <c r="D264" s="73"/>
      <c r="E264" s="91"/>
      <c r="F264" s="27">
        <f>F265+F266+F267</f>
        <v>521</v>
      </c>
      <c r="G264" s="25">
        <f>(F264/F262)*100</f>
        <v>0.81987851320303395</v>
      </c>
      <c r="H264" s="28" t="s">
        <v>291</v>
      </c>
      <c r="I264" s="23" t="s">
        <v>291</v>
      </c>
      <c r="J264" s="29" t="s">
        <v>291</v>
      </c>
      <c r="K264" s="29" t="s">
        <v>291</v>
      </c>
    </row>
    <row r="265" spans="2:11" ht="30.75" customHeight="1" x14ac:dyDescent="0.25">
      <c r="B265" s="74" t="s">
        <v>384</v>
      </c>
      <c r="C265" s="75"/>
      <c r="D265" s="76"/>
      <c r="E265" s="91"/>
      <c r="F265" s="30">
        <v>191</v>
      </c>
      <c r="G265" s="26">
        <f>(F265/F262)*100</f>
        <v>0.30056966606867463</v>
      </c>
      <c r="H265" s="28" t="s">
        <v>291</v>
      </c>
      <c r="I265" s="23" t="s">
        <v>291</v>
      </c>
      <c r="J265" s="29" t="s">
        <v>291</v>
      </c>
      <c r="K265" s="29" t="s">
        <v>291</v>
      </c>
    </row>
    <row r="266" spans="2:11" ht="45" customHeight="1" x14ac:dyDescent="0.25">
      <c r="B266" s="74" t="s">
        <v>385</v>
      </c>
      <c r="C266" s="75"/>
      <c r="D266" s="76"/>
      <c r="E266" s="91"/>
      <c r="F266" s="30">
        <v>60</v>
      </c>
      <c r="G266" s="26">
        <f>(F266/F262)*100</f>
        <v>9.4419790388065333E-2</v>
      </c>
      <c r="H266" s="28" t="s">
        <v>291</v>
      </c>
      <c r="I266" s="23" t="s">
        <v>291</v>
      </c>
      <c r="J266" s="29" t="s">
        <v>291</v>
      </c>
      <c r="K266" s="29" t="s">
        <v>291</v>
      </c>
    </row>
    <row r="267" spans="2:11" ht="27.75" customHeight="1" x14ac:dyDescent="0.25">
      <c r="B267" s="74" t="s">
        <v>386</v>
      </c>
      <c r="C267" s="75"/>
      <c r="D267" s="76"/>
      <c r="E267" s="92"/>
      <c r="F267" s="30">
        <v>270</v>
      </c>
      <c r="G267" s="26">
        <f>(F267/F262)*100</f>
        <v>0.42488905674629401</v>
      </c>
      <c r="H267" s="28" t="s">
        <v>291</v>
      </c>
      <c r="I267" s="23" t="s">
        <v>291</v>
      </c>
      <c r="J267" s="29" t="s">
        <v>291</v>
      </c>
      <c r="K267" s="29" t="s">
        <v>291</v>
      </c>
    </row>
    <row r="268" spans="2:11" x14ac:dyDescent="0.25">
      <c r="B268" s="95" t="s">
        <v>14</v>
      </c>
      <c r="C268" s="96"/>
      <c r="D268" s="96"/>
      <c r="E268" s="96"/>
      <c r="F268" s="96"/>
      <c r="G268" s="96"/>
      <c r="H268" s="96"/>
      <c r="I268" s="96"/>
      <c r="J268" s="96"/>
      <c r="K268" s="96"/>
    </row>
    <row r="269" spans="2:11" x14ac:dyDescent="0.25">
      <c r="B269" s="97" t="s">
        <v>182</v>
      </c>
      <c r="C269" s="98" t="s">
        <v>180</v>
      </c>
      <c r="D269" s="98" t="s">
        <v>288</v>
      </c>
      <c r="E269" s="22" t="s">
        <v>360</v>
      </c>
      <c r="F269" s="62">
        <v>905</v>
      </c>
      <c r="G269" s="12">
        <f>(F269/F299)*100</f>
        <v>1.8679050567595459</v>
      </c>
      <c r="H269" s="99">
        <v>299.39</v>
      </c>
      <c r="I269" s="98" t="s">
        <v>291</v>
      </c>
      <c r="J269" s="101">
        <v>22175096.969999999</v>
      </c>
      <c r="K269" s="101">
        <v>0</v>
      </c>
    </row>
    <row r="270" spans="2:11" s="9" customFormat="1" x14ac:dyDescent="0.25">
      <c r="B270" s="97"/>
      <c r="C270" s="98"/>
      <c r="D270" s="98"/>
      <c r="E270" s="4" t="s">
        <v>359</v>
      </c>
      <c r="F270" s="63">
        <v>118380</v>
      </c>
      <c r="G270" s="12" t="s">
        <v>291</v>
      </c>
      <c r="H270" s="100"/>
      <c r="I270" s="98"/>
      <c r="J270" s="101"/>
      <c r="K270" s="101"/>
    </row>
    <row r="271" spans="2:11" s="9" customFormat="1" x14ac:dyDescent="0.25">
      <c r="B271" s="77" t="s">
        <v>183</v>
      </c>
      <c r="C271" s="79" t="s">
        <v>180</v>
      </c>
      <c r="D271" s="79" t="s">
        <v>288</v>
      </c>
      <c r="E271" s="22" t="s">
        <v>360</v>
      </c>
      <c r="F271" s="46">
        <v>13483</v>
      </c>
      <c r="G271" s="12">
        <f>(F271/F299)*100</f>
        <v>27.828689370485037</v>
      </c>
      <c r="H271" s="88">
        <v>5965.32</v>
      </c>
      <c r="I271" s="79" t="s">
        <v>291</v>
      </c>
      <c r="J271" s="81">
        <v>184478285.75999999</v>
      </c>
      <c r="K271" s="81">
        <v>318793.53999999998</v>
      </c>
    </row>
    <row r="272" spans="2:11" s="9" customFormat="1" x14ac:dyDescent="0.25">
      <c r="B272" s="78"/>
      <c r="C272" s="80"/>
      <c r="D272" s="80"/>
      <c r="E272" s="4" t="s">
        <v>359</v>
      </c>
      <c r="F272" s="46">
        <v>1150365</v>
      </c>
      <c r="G272" s="12" t="s">
        <v>291</v>
      </c>
      <c r="H272" s="89"/>
      <c r="I272" s="80"/>
      <c r="J272" s="81"/>
      <c r="K272" s="81"/>
    </row>
    <row r="273" spans="2:11" s="9" customFormat="1" x14ac:dyDescent="0.25">
      <c r="B273" s="77" t="s">
        <v>184</v>
      </c>
      <c r="C273" s="79" t="s">
        <v>180</v>
      </c>
      <c r="D273" s="79" t="s">
        <v>288</v>
      </c>
      <c r="E273" s="22" t="s">
        <v>360</v>
      </c>
      <c r="F273" s="46">
        <v>6403</v>
      </c>
      <c r="G273" s="12">
        <f>(F273/F299)*100</f>
        <v>13.215686274509805</v>
      </c>
      <c r="H273" s="84">
        <v>5578.69</v>
      </c>
      <c r="I273" s="79" t="s">
        <v>291</v>
      </c>
      <c r="J273" s="81">
        <v>105664439.95</v>
      </c>
      <c r="K273" s="81">
        <f>1194000+4394525.91</f>
        <v>5588525.9100000001</v>
      </c>
    </row>
    <row r="274" spans="2:11" s="9" customFormat="1" x14ac:dyDescent="0.25">
      <c r="B274" s="78"/>
      <c r="C274" s="80"/>
      <c r="D274" s="80"/>
      <c r="E274" s="4" t="s">
        <v>359</v>
      </c>
      <c r="F274" s="46">
        <v>680400</v>
      </c>
      <c r="G274" s="12" t="s">
        <v>291</v>
      </c>
      <c r="H274" s="85"/>
      <c r="I274" s="80"/>
      <c r="J274" s="81"/>
      <c r="K274" s="81"/>
    </row>
    <row r="275" spans="2:11" s="9" customFormat="1" x14ac:dyDescent="0.25">
      <c r="B275" s="77" t="s">
        <v>185</v>
      </c>
      <c r="C275" s="79" t="s">
        <v>180</v>
      </c>
      <c r="D275" s="79" t="s">
        <v>288</v>
      </c>
      <c r="E275" s="22" t="s">
        <v>360</v>
      </c>
      <c r="F275" s="46">
        <v>3306</v>
      </c>
      <c r="G275" s="12">
        <f>(F275/F299)*100</f>
        <v>6.8235294117647065</v>
      </c>
      <c r="H275" s="84">
        <v>0</v>
      </c>
      <c r="I275" s="79" t="s">
        <v>291</v>
      </c>
      <c r="J275" s="81">
        <v>78773720.599999994</v>
      </c>
      <c r="K275" s="81">
        <v>379112.75</v>
      </c>
    </row>
    <row r="276" spans="2:11" s="9" customFormat="1" x14ac:dyDescent="0.25">
      <c r="B276" s="78"/>
      <c r="C276" s="80"/>
      <c r="D276" s="80"/>
      <c r="E276" s="4" t="s">
        <v>359</v>
      </c>
      <c r="F276" s="46">
        <v>478657</v>
      </c>
      <c r="G276" s="12" t="s">
        <v>291</v>
      </c>
      <c r="H276" s="85"/>
      <c r="I276" s="80"/>
      <c r="J276" s="81"/>
      <c r="K276" s="81"/>
    </row>
    <row r="277" spans="2:11" s="9" customFormat="1" x14ac:dyDescent="0.25">
      <c r="B277" s="77" t="s">
        <v>186</v>
      </c>
      <c r="C277" s="79" t="s">
        <v>180</v>
      </c>
      <c r="D277" s="79" t="s">
        <v>288</v>
      </c>
      <c r="E277" s="22" t="s">
        <v>360</v>
      </c>
      <c r="F277" s="46">
        <v>5943</v>
      </c>
      <c r="G277" s="12">
        <f>(F277/F299)*100</f>
        <v>12.26625386996904</v>
      </c>
      <c r="H277" s="84">
        <v>2580.5500000000002</v>
      </c>
      <c r="I277" s="79" t="s">
        <v>291</v>
      </c>
      <c r="J277" s="81">
        <v>61193873.390000001</v>
      </c>
      <c r="K277" s="81">
        <v>0</v>
      </c>
    </row>
    <row r="278" spans="2:11" s="9" customFormat="1" x14ac:dyDescent="0.25">
      <c r="B278" s="78"/>
      <c r="C278" s="80"/>
      <c r="D278" s="80"/>
      <c r="E278" s="4" t="s">
        <v>359</v>
      </c>
      <c r="F278" s="46">
        <v>557194</v>
      </c>
      <c r="G278" s="12" t="s">
        <v>291</v>
      </c>
      <c r="H278" s="85"/>
      <c r="I278" s="80"/>
      <c r="J278" s="81"/>
      <c r="K278" s="81"/>
    </row>
    <row r="279" spans="2:11" s="9" customFormat="1" x14ac:dyDescent="0.25">
      <c r="B279" s="77" t="s">
        <v>187</v>
      </c>
      <c r="C279" s="79" t="s">
        <v>180</v>
      </c>
      <c r="D279" s="79" t="s">
        <v>288</v>
      </c>
      <c r="E279" s="22" t="s">
        <v>360</v>
      </c>
      <c r="F279" s="46">
        <v>1632</v>
      </c>
      <c r="G279" s="12">
        <f>(F279/F299)*100</f>
        <v>3.3684210526315788</v>
      </c>
      <c r="H279" s="84">
        <v>808.36</v>
      </c>
      <c r="I279" s="79" t="s">
        <v>291</v>
      </c>
      <c r="J279" s="81">
        <v>28323304.600000001</v>
      </c>
      <c r="K279" s="81">
        <v>3348930.42</v>
      </c>
    </row>
    <row r="280" spans="2:11" s="9" customFormat="1" x14ac:dyDescent="0.25">
      <c r="B280" s="78"/>
      <c r="C280" s="80"/>
      <c r="D280" s="80"/>
      <c r="E280" s="4" t="s">
        <v>359</v>
      </c>
      <c r="F280" s="46">
        <v>237992</v>
      </c>
      <c r="G280" s="12" t="s">
        <v>291</v>
      </c>
      <c r="H280" s="85"/>
      <c r="I280" s="80"/>
      <c r="J280" s="81"/>
      <c r="K280" s="81"/>
    </row>
    <row r="281" spans="2:11" s="9" customFormat="1" x14ac:dyDescent="0.25">
      <c r="B281" s="77" t="s">
        <v>188</v>
      </c>
      <c r="C281" s="79" t="s">
        <v>180</v>
      </c>
      <c r="D281" s="79" t="s">
        <v>288</v>
      </c>
      <c r="E281" s="22" t="s">
        <v>360</v>
      </c>
      <c r="F281" s="46">
        <v>2820</v>
      </c>
      <c r="G281" s="12">
        <f>(F281/F299)*100</f>
        <v>5.8204334365325083</v>
      </c>
      <c r="H281" s="84">
        <v>2737.41</v>
      </c>
      <c r="I281" s="79" t="s">
        <v>291</v>
      </c>
      <c r="J281" s="81">
        <v>44814814.25</v>
      </c>
      <c r="K281" s="81">
        <v>0</v>
      </c>
    </row>
    <row r="282" spans="2:11" s="9" customFormat="1" x14ac:dyDescent="0.25">
      <c r="B282" s="78"/>
      <c r="C282" s="80"/>
      <c r="D282" s="80"/>
      <c r="E282" s="4" t="s">
        <v>359</v>
      </c>
      <c r="F282" s="46">
        <v>456000</v>
      </c>
      <c r="G282" s="12" t="s">
        <v>291</v>
      </c>
      <c r="H282" s="85"/>
      <c r="I282" s="80"/>
      <c r="J282" s="81"/>
      <c r="K282" s="81"/>
    </row>
    <row r="283" spans="2:11" s="9" customFormat="1" x14ac:dyDescent="0.25">
      <c r="B283" s="77" t="s">
        <v>189</v>
      </c>
      <c r="C283" s="79" t="s">
        <v>180</v>
      </c>
      <c r="D283" s="79" t="s">
        <v>288</v>
      </c>
      <c r="E283" s="22" t="s">
        <v>360</v>
      </c>
      <c r="F283" s="46">
        <v>3110</v>
      </c>
      <c r="G283" s="12">
        <f>(F283/F299)*100</f>
        <v>6.4189886480908145</v>
      </c>
      <c r="H283" s="84">
        <v>60.4</v>
      </c>
      <c r="I283" s="79" t="s">
        <v>291</v>
      </c>
      <c r="J283" s="81">
        <v>53380312.18</v>
      </c>
      <c r="K283" s="81">
        <v>2197728.37</v>
      </c>
    </row>
    <row r="284" spans="2:11" s="9" customFormat="1" x14ac:dyDescent="0.25">
      <c r="B284" s="78"/>
      <c r="C284" s="80"/>
      <c r="D284" s="80"/>
      <c r="E284" s="4" t="s">
        <v>359</v>
      </c>
      <c r="F284" s="46">
        <v>296942</v>
      </c>
      <c r="G284" s="12" t="s">
        <v>291</v>
      </c>
      <c r="H284" s="85"/>
      <c r="I284" s="80"/>
      <c r="J284" s="81"/>
      <c r="K284" s="81"/>
    </row>
    <row r="285" spans="2:11" s="9" customFormat="1" x14ac:dyDescent="0.25">
      <c r="B285" s="77" t="s">
        <v>190</v>
      </c>
      <c r="C285" s="79" t="s">
        <v>180</v>
      </c>
      <c r="D285" s="79" t="s">
        <v>288</v>
      </c>
      <c r="E285" s="22" t="s">
        <v>360</v>
      </c>
      <c r="F285" s="46">
        <v>2515</v>
      </c>
      <c r="G285" s="12">
        <f>(F285/F299)*100</f>
        <v>5.1909184726522186</v>
      </c>
      <c r="H285" s="84">
        <v>16.55</v>
      </c>
      <c r="I285" s="79" t="s">
        <v>291</v>
      </c>
      <c r="J285" s="81">
        <v>55194100.229999997</v>
      </c>
      <c r="K285" s="81">
        <v>183489.3</v>
      </c>
    </row>
    <row r="286" spans="2:11" s="9" customFormat="1" x14ac:dyDescent="0.25">
      <c r="B286" s="78"/>
      <c r="C286" s="80"/>
      <c r="D286" s="80"/>
      <c r="E286" s="4" t="s">
        <v>359</v>
      </c>
      <c r="F286" s="46">
        <v>514568</v>
      </c>
      <c r="G286" s="12" t="s">
        <v>291</v>
      </c>
      <c r="H286" s="85"/>
      <c r="I286" s="80"/>
      <c r="J286" s="81"/>
      <c r="K286" s="81"/>
    </row>
    <row r="287" spans="2:11" s="9" customFormat="1" x14ac:dyDescent="0.25">
      <c r="B287" s="77" t="s">
        <v>191</v>
      </c>
      <c r="C287" s="79" t="s">
        <v>180</v>
      </c>
      <c r="D287" s="79" t="s">
        <v>288</v>
      </c>
      <c r="E287" s="22" t="s">
        <v>360</v>
      </c>
      <c r="F287" s="46">
        <v>2580</v>
      </c>
      <c r="G287" s="12">
        <f>(F287/F299)*100</f>
        <v>5.3250773993808052</v>
      </c>
      <c r="H287" s="84">
        <v>0</v>
      </c>
      <c r="I287" s="79" t="s">
        <v>291</v>
      </c>
      <c r="J287" s="81">
        <v>36032564.68</v>
      </c>
      <c r="K287" s="81">
        <v>597000</v>
      </c>
    </row>
    <row r="288" spans="2:11" s="9" customFormat="1" x14ac:dyDescent="0.25">
      <c r="B288" s="78"/>
      <c r="C288" s="80"/>
      <c r="D288" s="80"/>
      <c r="E288" s="4" t="s">
        <v>359</v>
      </c>
      <c r="F288" s="46">
        <v>766240</v>
      </c>
      <c r="G288" s="12" t="s">
        <v>291</v>
      </c>
      <c r="H288" s="85"/>
      <c r="I288" s="80"/>
      <c r="J288" s="81"/>
      <c r="K288" s="81"/>
    </row>
    <row r="289" spans="2:11" s="9" customFormat="1" x14ac:dyDescent="0.25">
      <c r="B289" s="77" t="s">
        <v>192</v>
      </c>
      <c r="C289" s="79" t="s">
        <v>180</v>
      </c>
      <c r="D289" s="79" t="s">
        <v>288</v>
      </c>
      <c r="E289" s="22" t="s">
        <v>360</v>
      </c>
      <c r="F289" s="46">
        <v>2108</v>
      </c>
      <c r="G289" s="12">
        <f>(F289/F299)*100</f>
        <v>4.3508771929824563</v>
      </c>
      <c r="H289" s="84">
        <v>98.16</v>
      </c>
      <c r="I289" s="79" t="s">
        <v>291</v>
      </c>
      <c r="J289" s="81">
        <v>58831246.649999999</v>
      </c>
      <c r="K289" s="81">
        <v>283500</v>
      </c>
    </row>
    <row r="290" spans="2:11" s="9" customFormat="1" x14ac:dyDescent="0.25">
      <c r="B290" s="78"/>
      <c r="C290" s="80"/>
      <c r="D290" s="80"/>
      <c r="E290" s="4" t="s">
        <v>359</v>
      </c>
      <c r="F290" s="46">
        <v>703142</v>
      </c>
      <c r="G290" s="12" t="s">
        <v>291</v>
      </c>
      <c r="H290" s="85"/>
      <c r="I290" s="80"/>
      <c r="J290" s="81"/>
      <c r="K290" s="81"/>
    </row>
    <row r="291" spans="2:11" s="9" customFormat="1" x14ac:dyDescent="0.25">
      <c r="B291" s="77" t="s">
        <v>193</v>
      </c>
      <c r="C291" s="79" t="s">
        <v>180</v>
      </c>
      <c r="D291" s="79" t="s">
        <v>288</v>
      </c>
      <c r="E291" s="22" t="s">
        <v>360</v>
      </c>
      <c r="F291" s="46">
        <v>768</v>
      </c>
      <c r="G291" s="12">
        <f>(F291/F299)*100</f>
        <v>1.585139318885449</v>
      </c>
      <c r="H291" s="84">
        <v>538.39</v>
      </c>
      <c r="I291" s="79" t="s">
        <v>291</v>
      </c>
      <c r="J291" s="81">
        <v>44683386.950000003</v>
      </c>
      <c r="K291" s="81">
        <v>0</v>
      </c>
    </row>
    <row r="292" spans="2:11" s="9" customFormat="1" x14ac:dyDescent="0.25">
      <c r="B292" s="78"/>
      <c r="C292" s="80"/>
      <c r="D292" s="80"/>
      <c r="E292" s="4" t="s">
        <v>359</v>
      </c>
      <c r="F292" s="46">
        <v>284100</v>
      </c>
      <c r="G292" s="12" t="s">
        <v>291</v>
      </c>
      <c r="H292" s="85"/>
      <c r="I292" s="80"/>
      <c r="J292" s="81"/>
      <c r="K292" s="81"/>
    </row>
    <row r="293" spans="2:11" s="9" customFormat="1" x14ac:dyDescent="0.25">
      <c r="B293" s="77" t="s">
        <v>194</v>
      </c>
      <c r="C293" s="79" t="s">
        <v>180</v>
      </c>
      <c r="D293" s="79" t="s">
        <v>288</v>
      </c>
      <c r="E293" s="22" t="s">
        <v>360</v>
      </c>
      <c r="F293" s="46">
        <v>1005</v>
      </c>
      <c r="G293" s="12">
        <f>(F293/F299)*100</f>
        <v>2.0743034055727554</v>
      </c>
      <c r="H293" s="84">
        <v>1088.8399999999999</v>
      </c>
      <c r="I293" s="79" t="s">
        <v>291</v>
      </c>
      <c r="J293" s="81">
        <v>32440374.510000002</v>
      </c>
      <c r="K293" s="81">
        <v>682534.16</v>
      </c>
    </row>
    <row r="294" spans="2:11" s="9" customFormat="1" x14ac:dyDescent="0.25">
      <c r="B294" s="78"/>
      <c r="C294" s="80"/>
      <c r="D294" s="80"/>
      <c r="E294" s="4" t="s">
        <v>359</v>
      </c>
      <c r="F294" s="46">
        <v>357596</v>
      </c>
      <c r="G294" s="12" t="s">
        <v>291</v>
      </c>
      <c r="H294" s="85"/>
      <c r="I294" s="80"/>
      <c r="J294" s="81"/>
      <c r="K294" s="81"/>
    </row>
    <row r="295" spans="2:11" s="9" customFormat="1" ht="28.5" customHeight="1" x14ac:dyDescent="0.25">
      <c r="B295" s="77" t="s">
        <v>195</v>
      </c>
      <c r="C295" s="79" t="s">
        <v>180</v>
      </c>
      <c r="D295" s="79" t="s">
        <v>288</v>
      </c>
      <c r="E295" s="4" t="s">
        <v>360</v>
      </c>
      <c r="F295" s="46">
        <v>174</v>
      </c>
      <c r="G295" s="12">
        <f>(F295/F299)*100</f>
        <v>0.3591331269349845</v>
      </c>
      <c r="H295" s="84">
        <v>232.09</v>
      </c>
      <c r="I295" s="79" t="s">
        <v>291</v>
      </c>
      <c r="J295" s="81">
        <v>6512845.8899999997</v>
      </c>
      <c r="K295" s="81">
        <v>436075.92</v>
      </c>
    </row>
    <row r="296" spans="2:11" s="9" customFormat="1" ht="30" customHeight="1" x14ac:dyDescent="0.25">
      <c r="B296" s="78"/>
      <c r="C296" s="80"/>
      <c r="D296" s="80"/>
      <c r="E296" s="4" t="s">
        <v>359</v>
      </c>
      <c r="F296" s="46">
        <v>17600</v>
      </c>
      <c r="G296" s="12" t="s">
        <v>291</v>
      </c>
      <c r="H296" s="85"/>
      <c r="I296" s="80"/>
      <c r="J296" s="81"/>
      <c r="K296" s="81"/>
    </row>
    <row r="297" spans="2:11" s="9" customFormat="1" x14ac:dyDescent="0.25">
      <c r="B297" s="82" t="s">
        <v>196</v>
      </c>
      <c r="C297" s="79" t="s">
        <v>180</v>
      </c>
      <c r="D297" s="79" t="s">
        <v>288</v>
      </c>
      <c r="E297" s="22" t="s">
        <v>360</v>
      </c>
      <c r="F297" s="46">
        <v>1698</v>
      </c>
      <c r="G297" s="12">
        <f>(F297/F299)*100</f>
        <v>3.5046439628482973</v>
      </c>
      <c r="H297" s="84">
        <v>1902.43</v>
      </c>
      <c r="I297" s="79" t="s">
        <v>291</v>
      </c>
      <c r="J297" s="81">
        <v>40387873.119999997</v>
      </c>
      <c r="K297" s="81">
        <v>1170000</v>
      </c>
    </row>
    <row r="298" spans="2:11" x14ac:dyDescent="0.25">
      <c r="B298" s="83"/>
      <c r="C298" s="80"/>
      <c r="D298" s="80"/>
      <c r="E298" s="4" t="s">
        <v>359</v>
      </c>
      <c r="F298" s="46">
        <v>306304</v>
      </c>
      <c r="G298" s="12" t="s">
        <v>291</v>
      </c>
      <c r="H298" s="85"/>
      <c r="I298" s="80"/>
      <c r="J298" s="81"/>
      <c r="K298" s="81"/>
    </row>
    <row r="299" spans="2:11" x14ac:dyDescent="0.25">
      <c r="B299" s="68" t="s">
        <v>375</v>
      </c>
      <c r="C299" s="69"/>
      <c r="D299" s="70"/>
      <c r="E299" s="23" t="s">
        <v>360</v>
      </c>
      <c r="F299" s="30">
        <f>SUM(F269+F271+F273+F275+F277+F279+F281+F283+F285+F287+F289+F291+F293+F295+F297)</f>
        <v>48450</v>
      </c>
      <c r="G299" s="12">
        <f>F299/F300*100</f>
        <v>65.855647682479272</v>
      </c>
      <c r="H299" s="23" t="s">
        <v>291</v>
      </c>
      <c r="I299" s="23" t="s">
        <v>291</v>
      </c>
      <c r="J299" s="28" t="s">
        <v>291</v>
      </c>
      <c r="K299" s="28" t="s">
        <v>291</v>
      </c>
    </row>
    <row r="300" spans="2:11" ht="30.75" customHeight="1" x14ac:dyDescent="0.25">
      <c r="B300" s="68" t="s">
        <v>376</v>
      </c>
      <c r="C300" s="71"/>
      <c r="D300" s="72"/>
      <c r="E300" s="23" t="s">
        <v>360</v>
      </c>
      <c r="F300" s="30">
        <v>73570</v>
      </c>
      <c r="G300" s="23">
        <v>100</v>
      </c>
      <c r="H300" s="23" t="s">
        <v>291</v>
      </c>
      <c r="I300" s="23" t="s">
        <v>291</v>
      </c>
      <c r="J300" s="28" t="s">
        <v>291</v>
      </c>
      <c r="K300" s="28" t="s">
        <v>291</v>
      </c>
    </row>
    <row r="301" spans="2:11" x14ac:dyDescent="0.25">
      <c r="B301" s="95" t="s">
        <v>15</v>
      </c>
      <c r="C301" s="96"/>
      <c r="D301" s="96"/>
      <c r="E301" s="96"/>
      <c r="F301" s="96"/>
      <c r="G301" s="96"/>
      <c r="H301" s="96"/>
      <c r="I301" s="96"/>
      <c r="J301" s="96"/>
      <c r="K301" s="96"/>
    </row>
    <row r="302" spans="2:11" ht="78.75" x14ac:dyDescent="0.25">
      <c r="B302" s="18" t="s">
        <v>18</v>
      </c>
      <c r="C302" s="1" t="s">
        <v>180</v>
      </c>
      <c r="D302" s="3" t="s">
        <v>289</v>
      </c>
      <c r="E302" s="4" t="s">
        <v>361</v>
      </c>
      <c r="F302" s="47">
        <v>1416</v>
      </c>
      <c r="G302" s="1" t="s">
        <v>291</v>
      </c>
      <c r="H302" s="48">
        <v>3519.098</v>
      </c>
      <c r="I302" s="1" t="s">
        <v>291</v>
      </c>
      <c r="J302" s="60">
        <v>36871008.759999998</v>
      </c>
      <c r="K302" s="60">
        <v>0</v>
      </c>
    </row>
    <row r="303" spans="2:11" x14ac:dyDescent="0.25">
      <c r="B303" s="94" t="s">
        <v>16</v>
      </c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 ht="63" x14ac:dyDescent="0.25">
      <c r="B304" s="19" t="s">
        <v>290</v>
      </c>
      <c r="C304" s="1" t="s">
        <v>180</v>
      </c>
      <c r="D304" s="3" t="s">
        <v>328</v>
      </c>
      <c r="E304" s="11" t="s">
        <v>362</v>
      </c>
      <c r="F304" s="47">
        <v>50337</v>
      </c>
      <c r="G304" s="1" t="s">
        <v>291</v>
      </c>
      <c r="H304" s="48">
        <v>632.65</v>
      </c>
      <c r="I304" s="1" t="s">
        <v>291</v>
      </c>
      <c r="J304" s="60">
        <v>298489159.85000002</v>
      </c>
      <c r="K304" s="60">
        <v>0</v>
      </c>
    </row>
    <row r="305" spans="2:11" ht="75" x14ac:dyDescent="0.25">
      <c r="B305" s="19" t="s">
        <v>330</v>
      </c>
      <c r="C305" s="1" t="s">
        <v>180</v>
      </c>
      <c r="D305" s="3" t="s">
        <v>329</v>
      </c>
      <c r="E305" s="11" t="s">
        <v>363</v>
      </c>
      <c r="F305" s="47">
        <v>33082</v>
      </c>
      <c r="G305" s="1" t="s">
        <v>291</v>
      </c>
      <c r="H305" s="48">
        <v>591363.13</v>
      </c>
      <c r="I305" s="1" t="s">
        <v>291</v>
      </c>
      <c r="J305" s="60">
        <v>152619310.28</v>
      </c>
      <c r="K305" s="60">
        <v>0</v>
      </c>
    </row>
    <row r="306" spans="2:11" ht="31.5" x14ac:dyDescent="0.25">
      <c r="B306" s="19" t="s">
        <v>17</v>
      </c>
      <c r="C306" s="1" t="s">
        <v>180</v>
      </c>
      <c r="D306" s="3" t="s">
        <v>331</v>
      </c>
      <c r="E306" s="11" t="s">
        <v>364</v>
      </c>
      <c r="F306" s="60">
        <v>815285</v>
      </c>
      <c r="G306" s="1" t="s">
        <v>291</v>
      </c>
      <c r="H306" s="48">
        <v>4069.92499</v>
      </c>
      <c r="I306" s="1" t="s">
        <v>291</v>
      </c>
      <c r="J306" s="60">
        <f>200835917.66/1000</f>
        <v>200835.91766000001</v>
      </c>
      <c r="K306" s="60">
        <v>0</v>
      </c>
    </row>
    <row r="307" spans="2:11" x14ac:dyDescent="0.25">
      <c r="B307" s="5"/>
      <c r="C307" s="6"/>
      <c r="D307" s="6"/>
      <c r="E307" s="7"/>
      <c r="F307" s="7"/>
      <c r="G307" s="7"/>
      <c r="H307" s="8"/>
      <c r="I307" s="7"/>
      <c r="J307" s="7"/>
      <c r="K307" s="7"/>
    </row>
    <row r="308" spans="2:11" x14ac:dyDescent="0.25">
      <c r="B308" s="93" t="s">
        <v>372</v>
      </c>
      <c r="C308" s="93"/>
      <c r="D308" s="93"/>
      <c r="E308" s="93"/>
      <c r="F308" s="93"/>
      <c r="G308" s="93"/>
      <c r="H308" s="93"/>
      <c r="I308" s="93"/>
      <c r="J308" s="93"/>
      <c r="K308" s="93"/>
    </row>
    <row r="309" spans="2:11" x14ac:dyDescent="0.25">
      <c r="B309" s="5"/>
      <c r="C309" s="6"/>
      <c r="D309" s="6"/>
      <c r="E309" s="7"/>
      <c r="F309" s="7"/>
      <c r="G309" s="7"/>
      <c r="H309" s="8"/>
      <c r="I309" s="7"/>
      <c r="J309" s="7"/>
      <c r="K309" s="7"/>
    </row>
    <row r="310" spans="2:11" x14ac:dyDescent="0.25">
      <c r="B310" s="5"/>
      <c r="C310" s="6"/>
      <c r="D310" s="6"/>
      <c r="E310" s="7"/>
      <c r="F310" s="7"/>
      <c r="G310" s="7"/>
      <c r="H310" s="8"/>
      <c r="I310" s="7"/>
      <c r="J310" s="7"/>
      <c r="K310" s="7"/>
    </row>
    <row r="311" spans="2:11" x14ac:dyDescent="0.25">
      <c r="B311" s="5"/>
      <c r="C311" s="6"/>
      <c r="D311" s="6"/>
      <c r="E311" s="7"/>
      <c r="F311" s="7"/>
      <c r="G311" s="7"/>
      <c r="H311" s="8"/>
      <c r="I311" s="7"/>
      <c r="J311" s="7"/>
      <c r="K311" s="7"/>
    </row>
  </sheetData>
  <mergeCells count="135">
    <mergeCell ref="B300:D300"/>
    <mergeCell ref="B308:K308"/>
    <mergeCell ref="B5:K5"/>
    <mergeCell ref="B303:K303"/>
    <mergeCell ref="B301:K301"/>
    <mergeCell ref="B268:K268"/>
    <mergeCell ref="B171:K171"/>
    <mergeCell ref="B168:D168"/>
    <mergeCell ref="B262:D262"/>
    <mergeCell ref="B269:B270"/>
    <mergeCell ref="C269:C270"/>
    <mergeCell ref="D269:D270"/>
    <mergeCell ref="H269:H270"/>
    <mergeCell ref="I269:I270"/>
    <mergeCell ref="J269:J270"/>
    <mergeCell ref="K269:K270"/>
    <mergeCell ref="I271:I272"/>
    <mergeCell ref="J271:J272"/>
    <mergeCell ref="K271:K272"/>
    <mergeCell ref="B273:B274"/>
    <mergeCell ref="C273:C274"/>
    <mergeCell ref="D273:D274"/>
    <mergeCell ref="H273:H274"/>
    <mergeCell ref="I273:I274"/>
    <mergeCell ref="J273:J274"/>
    <mergeCell ref="K273:K274"/>
    <mergeCell ref="G3:G4"/>
    <mergeCell ref="H3:H4"/>
    <mergeCell ref="I3:I4"/>
    <mergeCell ref="B1:K2"/>
    <mergeCell ref="J3:K3"/>
    <mergeCell ref="B3:B4"/>
    <mergeCell ref="C3:C4"/>
    <mergeCell ref="D3:D4"/>
    <mergeCell ref="E3:F3"/>
    <mergeCell ref="H271:H272"/>
    <mergeCell ref="E262:E267"/>
    <mergeCell ref="E166:E170"/>
    <mergeCell ref="I275:I276"/>
    <mergeCell ref="J275:J276"/>
    <mergeCell ref="K275:K276"/>
    <mergeCell ref="B277:B278"/>
    <mergeCell ref="C277:C278"/>
    <mergeCell ref="D277:D278"/>
    <mergeCell ref="H277:H278"/>
    <mergeCell ref="I277:I278"/>
    <mergeCell ref="J277:J278"/>
    <mergeCell ref="K277:K278"/>
    <mergeCell ref="B275:B276"/>
    <mergeCell ref="C275:C276"/>
    <mergeCell ref="D275:D276"/>
    <mergeCell ref="H275:H276"/>
    <mergeCell ref="I279:I280"/>
    <mergeCell ref="J279:J280"/>
    <mergeCell ref="K279:K280"/>
    <mergeCell ref="B281:B282"/>
    <mergeCell ref="C281:C282"/>
    <mergeCell ref="D281:D282"/>
    <mergeCell ref="H281:H282"/>
    <mergeCell ref="I281:I282"/>
    <mergeCell ref="J281:J282"/>
    <mergeCell ref="K281:K282"/>
    <mergeCell ref="B279:B280"/>
    <mergeCell ref="C279:C280"/>
    <mergeCell ref="D279:D280"/>
    <mergeCell ref="H279:H280"/>
    <mergeCell ref="I283:I284"/>
    <mergeCell ref="J283:J284"/>
    <mergeCell ref="K283:K284"/>
    <mergeCell ref="B285:B286"/>
    <mergeCell ref="C285:C286"/>
    <mergeCell ref="D285:D286"/>
    <mergeCell ref="H285:H286"/>
    <mergeCell ref="I285:I286"/>
    <mergeCell ref="J285:J286"/>
    <mergeCell ref="K285:K286"/>
    <mergeCell ref="B283:B284"/>
    <mergeCell ref="C283:C284"/>
    <mergeCell ref="D283:D284"/>
    <mergeCell ref="H283:H284"/>
    <mergeCell ref="I287:I288"/>
    <mergeCell ref="J287:J288"/>
    <mergeCell ref="K287:K288"/>
    <mergeCell ref="B289:B290"/>
    <mergeCell ref="C289:C290"/>
    <mergeCell ref="D289:D290"/>
    <mergeCell ref="H289:H290"/>
    <mergeCell ref="I289:I290"/>
    <mergeCell ref="J289:J290"/>
    <mergeCell ref="K289:K290"/>
    <mergeCell ref="B287:B288"/>
    <mergeCell ref="C287:C288"/>
    <mergeCell ref="D287:D288"/>
    <mergeCell ref="H287:H288"/>
    <mergeCell ref="I291:I292"/>
    <mergeCell ref="J291:J292"/>
    <mergeCell ref="K291:K292"/>
    <mergeCell ref="B293:B294"/>
    <mergeCell ref="C293:C294"/>
    <mergeCell ref="D293:D294"/>
    <mergeCell ref="H293:H294"/>
    <mergeCell ref="I293:I294"/>
    <mergeCell ref="J293:J294"/>
    <mergeCell ref="K293:K294"/>
    <mergeCell ref="B291:B292"/>
    <mergeCell ref="C291:C292"/>
    <mergeCell ref="D291:D292"/>
    <mergeCell ref="H291:H292"/>
    <mergeCell ref="I295:I296"/>
    <mergeCell ref="J295:J296"/>
    <mergeCell ref="K295:K296"/>
    <mergeCell ref="B297:B298"/>
    <mergeCell ref="C297:C298"/>
    <mergeCell ref="D297:D298"/>
    <mergeCell ref="H297:H298"/>
    <mergeCell ref="I297:I298"/>
    <mergeCell ref="J297:J298"/>
    <mergeCell ref="K297:K298"/>
    <mergeCell ref="B295:B296"/>
    <mergeCell ref="C295:C296"/>
    <mergeCell ref="D295:D296"/>
    <mergeCell ref="H295:H296"/>
    <mergeCell ref="B299:D299"/>
    <mergeCell ref="B263:D263"/>
    <mergeCell ref="B264:D264"/>
    <mergeCell ref="B265:D265"/>
    <mergeCell ref="B267:D267"/>
    <mergeCell ref="B166:D166"/>
    <mergeCell ref="B167:D167"/>
    <mergeCell ref="B169:D169"/>
    <mergeCell ref="B170:D170"/>
    <mergeCell ref="B271:B272"/>
    <mergeCell ref="C271:C272"/>
    <mergeCell ref="D271:D272"/>
    <mergeCell ref="B266:D266"/>
  </mergeCells>
  <pageMargins left="0.19685039370078741" right="0.19685039370078741" top="0.19685039370078741" bottom="0.19685039370078741" header="0.19685039370078741" footer="0.19685039370078741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18"/>
  <sheetViews>
    <sheetView zoomScale="80" zoomScaleNormal="80" workbookViewId="0">
      <pane ySplit="4" topLeftCell="A5" activePane="bottomLeft" state="frozen"/>
      <selection pane="bottomLeft" activeCell="B1" sqref="B1:K2"/>
    </sheetView>
  </sheetViews>
  <sheetFormatPr defaultRowHeight="15" x14ac:dyDescent="0.25"/>
  <cols>
    <col min="1" max="1" width="3.5703125" style="2" customWidth="1"/>
    <col min="2" max="2" width="36" style="2" customWidth="1"/>
    <col min="3" max="3" width="24.140625" style="2" customWidth="1"/>
    <col min="4" max="4" width="41.5703125" style="2" customWidth="1"/>
    <col min="5" max="5" width="16" style="2" customWidth="1"/>
    <col min="6" max="6" width="13.285156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2" width="3.5703125" style="2" customWidth="1"/>
    <col min="13" max="16384" width="9.140625" style="2"/>
  </cols>
  <sheetData>
    <row r="1" spans="1:11" ht="16.5" customHeight="1" x14ac:dyDescent="0.25">
      <c r="B1" s="87" t="s">
        <v>389</v>
      </c>
      <c r="C1" s="87"/>
      <c r="D1" s="87"/>
      <c r="E1" s="87"/>
      <c r="F1" s="87"/>
      <c r="G1" s="87"/>
      <c r="H1" s="87"/>
      <c r="I1" s="87"/>
      <c r="J1" s="87"/>
      <c r="K1" s="87"/>
    </row>
    <row r="2" spans="1:11" ht="29.2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2.25" customHeight="1" x14ac:dyDescent="0.25">
      <c r="A3" s="114"/>
      <c r="B3" s="86" t="s">
        <v>0</v>
      </c>
      <c r="C3" s="86" t="s">
        <v>8</v>
      </c>
      <c r="D3" s="86" t="s">
        <v>343</v>
      </c>
      <c r="E3" s="116" t="s">
        <v>3</v>
      </c>
      <c r="F3" s="117"/>
      <c r="G3" s="86" t="s">
        <v>6</v>
      </c>
      <c r="H3" s="86" t="s">
        <v>4</v>
      </c>
      <c r="I3" s="86" t="s">
        <v>7</v>
      </c>
      <c r="J3" s="86" t="s">
        <v>5</v>
      </c>
      <c r="K3" s="86"/>
    </row>
    <row r="4" spans="1:11" ht="28.5" x14ac:dyDescent="0.25">
      <c r="A4" s="114"/>
      <c r="B4" s="86"/>
      <c r="C4" s="86"/>
      <c r="D4" s="86"/>
      <c r="E4" s="45" t="s">
        <v>344</v>
      </c>
      <c r="F4" s="45" t="s">
        <v>345</v>
      </c>
      <c r="G4" s="86"/>
      <c r="H4" s="86"/>
      <c r="I4" s="86"/>
      <c r="J4" s="45" t="s">
        <v>1</v>
      </c>
      <c r="K4" s="45" t="s">
        <v>2</v>
      </c>
    </row>
    <row r="5" spans="1:11" ht="105" x14ac:dyDescent="0.25">
      <c r="B5" s="20" t="s">
        <v>292</v>
      </c>
      <c r="C5" s="1" t="s">
        <v>404</v>
      </c>
      <c r="D5" s="3" t="s">
        <v>308</v>
      </c>
      <c r="E5" s="32" t="s">
        <v>346</v>
      </c>
      <c r="F5" s="54">
        <v>370263</v>
      </c>
      <c r="G5" s="55" t="s">
        <v>291</v>
      </c>
      <c r="H5" s="56">
        <v>4213.6000000000004</v>
      </c>
      <c r="I5" s="55" t="s">
        <v>291</v>
      </c>
      <c r="J5" s="57">
        <v>118057.4</v>
      </c>
      <c r="K5" s="57">
        <v>53103310.840000004</v>
      </c>
    </row>
    <row r="6" spans="1:11" ht="105" x14ac:dyDescent="0.25">
      <c r="B6" s="20" t="s">
        <v>293</v>
      </c>
      <c r="C6" s="1" t="s">
        <v>405</v>
      </c>
      <c r="D6" s="3" t="s">
        <v>308</v>
      </c>
      <c r="E6" s="32" t="s">
        <v>346</v>
      </c>
      <c r="F6" s="54">
        <v>345559</v>
      </c>
      <c r="G6" s="55" t="s">
        <v>291</v>
      </c>
      <c r="H6" s="56">
        <v>3937.4</v>
      </c>
      <c r="I6" s="55" t="s">
        <v>291</v>
      </c>
      <c r="J6" s="57">
        <v>1697735.6</v>
      </c>
      <c r="K6" s="57">
        <v>54549127.409999996</v>
      </c>
    </row>
    <row r="7" spans="1:11" ht="105" x14ac:dyDescent="0.25">
      <c r="B7" s="20" t="s">
        <v>294</v>
      </c>
      <c r="C7" s="1" t="s">
        <v>405</v>
      </c>
      <c r="D7" s="3" t="s">
        <v>308</v>
      </c>
      <c r="E7" s="32" t="s">
        <v>346</v>
      </c>
      <c r="F7" s="54">
        <v>473506</v>
      </c>
      <c r="G7" s="55" t="s">
        <v>291</v>
      </c>
      <c r="H7" s="56">
        <v>5198</v>
      </c>
      <c r="I7" s="55" t="s">
        <v>291</v>
      </c>
      <c r="J7" s="57">
        <v>1965835.6</v>
      </c>
      <c r="K7" s="57">
        <v>61072836.340000004</v>
      </c>
    </row>
    <row r="8" spans="1:11" ht="105" x14ac:dyDescent="0.25">
      <c r="B8" s="20" t="s">
        <v>295</v>
      </c>
      <c r="C8" s="1" t="s">
        <v>405</v>
      </c>
      <c r="D8" s="3" t="s">
        <v>308</v>
      </c>
      <c r="E8" s="32" t="s">
        <v>346</v>
      </c>
      <c r="F8" s="54">
        <v>397551</v>
      </c>
      <c r="G8" s="55" t="s">
        <v>291</v>
      </c>
      <c r="H8" s="56">
        <v>7017.2</v>
      </c>
      <c r="I8" s="55" t="s">
        <v>291</v>
      </c>
      <c r="J8" s="57">
        <v>52187.4</v>
      </c>
      <c r="K8" s="57">
        <v>64090429.710000001</v>
      </c>
    </row>
    <row r="9" spans="1:11" ht="105" x14ac:dyDescent="0.25">
      <c r="B9" s="20" t="s">
        <v>296</v>
      </c>
      <c r="C9" s="1" t="s">
        <v>405</v>
      </c>
      <c r="D9" s="3" t="s">
        <v>308</v>
      </c>
      <c r="E9" s="32" t="s">
        <v>346</v>
      </c>
      <c r="F9" s="54">
        <v>777076</v>
      </c>
      <c r="G9" s="55" t="s">
        <v>291</v>
      </c>
      <c r="H9" s="56">
        <v>11027</v>
      </c>
      <c r="I9" s="55" t="s">
        <v>291</v>
      </c>
      <c r="J9" s="57">
        <v>61067.4</v>
      </c>
      <c r="K9" s="57">
        <v>100367662.90000001</v>
      </c>
    </row>
    <row r="10" spans="1:11" ht="105" x14ac:dyDescent="0.25">
      <c r="B10" s="20" t="s">
        <v>297</v>
      </c>
      <c r="C10" s="1" t="s">
        <v>405</v>
      </c>
      <c r="D10" s="3" t="s">
        <v>308</v>
      </c>
      <c r="E10" s="32" t="s">
        <v>346</v>
      </c>
      <c r="F10" s="54">
        <v>883533</v>
      </c>
      <c r="G10" s="55" t="s">
        <v>291</v>
      </c>
      <c r="H10" s="56">
        <v>11530.5</v>
      </c>
      <c r="I10" s="55" t="s">
        <v>291</v>
      </c>
      <c r="J10" s="57">
        <v>63227.4</v>
      </c>
      <c r="K10" s="57">
        <v>101828580.67</v>
      </c>
    </row>
    <row r="11" spans="1:11" ht="47.25" x14ac:dyDescent="0.25">
      <c r="B11" s="20" t="s">
        <v>298</v>
      </c>
      <c r="C11" s="1" t="s">
        <v>405</v>
      </c>
      <c r="D11" s="3" t="s">
        <v>305</v>
      </c>
      <c r="E11" s="32" t="s">
        <v>346</v>
      </c>
      <c r="F11" s="54">
        <v>423556</v>
      </c>
      <c r="G11" s="55" t="s">
        <v>291</v>
      </c>
      <c r="H11" s="56" t="s">
        <v>406</v>
      </c>
      <c r="I11" s="55" t="s">
        <v>291</v>
      </c>
      <c r="J11" s="57">
        <v>20992893.920000002</v>
      </c>
      <c r="K11" s="57">
        <v>123289704.28</v>
      </c>
    </row>
    <row r="12" spans="1:11" ht="105" x14ac:dyDescent="0.25">
      <c r="B12" s="20" t="s">
        <v>299</v>
      </c>
      <c r="C12" s="1" t="s">
        <v>405</v>
      </c>
      <c r="D12" s="3" t="s">
        <v>306</v>
      </c>
      <c r="E12" s="32" t="s">
        <v>346</v>
      </c>
      <c r="F12" s="54">
        <v>248171</v>
      </c>
      <c r="G12" s="55" t="s">
        <v>291</v>
      </c>
      <c r="H12" s="56" t="s">
        <v>406</v>
      </c>
      <c r="I12" s="55" t="s">
        <v>291</v>
      </c>
      <c r="J12" s="57">
        <v>352419.57</v>
      </c>
      <c r="K12" s="57">
        <v>79783117.549999997</v>
      </c>
    </row>
    <row r="13" spans="1:11" ht="105" x14ac:dyDescent="0.25">
      <c r="B13" s="20" t="s">
        <v>300</v>
      </c>
      <c r="C13" s="58" t="s">
        <v>405</v>
      </c>
      <c r="D13" s="3" t="s">
        <v>306</v>
      </c>
      <c r="E13" s="32" t="s">
        <v>346</v>
      </c>
      <c r="F13" s="54">
        <v>262861</v>
      </c>
      <c r="G13" s="55" t="s">
        <v>291</v>
      </c>
      <c r="H13" s="56" t="s">
        <v>406</v>
      </c>
      <c r="I13" s="55" t="s">
        <v>291</v>
      </c>
      <c r="J13" s="57">
        <v>625630.23</v>
      </c>
      <c r="K13" s="57">
        <v>71669266.359999999</v>
      </c>
    </row>
    <row r="14" spans="1:11" ht="105" x14ac:dyDescent="0.25">
      <c r="B14" s="20" t="s">
        <v>301</v>
      </c>
      <c r="C14" s="1" t="s">
        <v>405</v>
      </c>
      <c r="D14" s="3" t="s">
        <v>306</v>
      </c>
      <c r="E14" s="32" t="s">
        <v>346</v>
      </c>
      <c r="F14" s="54">
        <v>465810</v>
      </c>
      <c r="G14" s="55" t="s">
        <v>291</v>
      </c>
      <c r="H14" s="56" t="s">
        <v>406</v>
      </c>
      <c r="I14" s="55" t="s">
        <v>291</v>
      </c>
      <c r="J14" s="57">
        <v>110615.09</v>
      </c>
      <c r="K14" s="57">
        <v>106493455.84</v>
      </c>
    </row>
    <row r="15" spans="1:11" ht="75" customHeight="1" x14ac:dyDescent="0.25">
      <c r="B15" s="59" t="s">
        <v>302</v>
      </c>
      <c r="C15" s="1" t="s">
        <v>405</v>
      </c>
      <c r="D15" s="3" t="s">
        <v>307</v>
      </c>
      <c r="E15" s="32" t="s">
        <v>347</v>
      </c>
      <c r="F15" s="54">
        <v>288</v>
      </c>
      <c r="G15" s="55" t="s">
        <v>291</v>
      </c>
      <c r="H15" s="56" t="s">
        <v>406</v>
      </c>
      <c r="I15" s="55" t="s">
        <v>291</v>
      </c>
      <c r="J15" s="57">
        <v>1613322.52</v>
      </c>
      <c r="K15" s="57">
        <v>20918426.199999999</v>
      </c>
    </row>
    <row r="16" spans="1:11" ht="165" x14ac:dyDescent="0.25">
      <c r="B16" s="20" t="s">
        <v>303</v>
      </c>
      <c r="C16" s="1" t="s">
        <v>405</v>
      </c>
      <c r="D16" s="3" t="s">
        <v>309</v>
      </c>
      <c r="E16" s="32" t="s">
        <v>346</v>
      </c>
      <c r="F16" s="54">
        <v>84440</v>
      </c>
      <c r="G16" s="55" t="s">
        <v>291</v>
      </c>
      <c r="H16" s="56"/>
      <c r="I16" s="55" t="s">
        <v>291</v>
      </c>
      <c r="J16" s="57">
        <v>730731.69</v>
      </c>
      <c r="K16" s="57">
        <v>41237663.43</v>
      </c>
    </row>
    <row r="17" spans="2:11" ht="51.75" customHeight="1" x14ac:dyDescent="0.25">
      <c r="B17" s="106" t="s">
        <v>304</v>
      </c>
      <c r="C17" s="108" t="s">
        <v>405</v>
      </c>
      <c r="D17" s="110" t="s">
        <v>310</v>
      </c>
      <c r="E17" s="32" t="s">
        <v>348</v>
      </c>
      <c r="F17" s="54">
        <v>2289</v>
      </c>
      <c r="G17" s="102" t="s">
        <v>291</v>
      </c>
      <c r="H17" s="112">
        <v>20267.599999999999</v>
      </c>
      <c r="I17" s="102" t="s">
        <v>291</v>
      </c>
      <c r="J17" s="104">
        <f>42992641.9+833333.33</f>
        <v>43825975.229999997</v>
      </c>
      <c r="K17" s="104">
        <f>13799601.48+7500000</f>
        <v>21299601.48</v>
      </c>
    </row>
    <row r="18" spans="2:11" ht="34.5" customHeight="1" x14ac:dyDescent="0.25">
      <c r="B18" s="107"/>
      <c r="C18" s="109"/>
      <c r="D18" s="111"/>
      <c r="E18" s="32" t="s">
        <v>349</v>
      </c>
      <c r="F18" s="54">
        <v>2001</v>
      </c>
      <c r="G18" s="103"/>
      <c r="H18" s="113"/>
      <c r="I18" s="103"/>
      <c r="J18" s="105"/>
      <c r="K18" s="105"/>
    </row>
  </sheetData>
  <mergeCells count="18">
    <mergeCell ref="A3:A4"/>
    <mergeCell ref="B1:K2"/>
    <mergeCell ref="B3:B4"/>
    <mergeCell ref="C3:C4"/>
    <mergeCell ref="D3:D4"/>
    <mergeCell ref="E3:F3"/>
    <mergeCell ref="G3:G4"/>
    <mergeCell ref="H3:H4"/>
    <mergeCell ref="I3:I4"/>
    <mergeCell ref="J3:K3"/>
    <mergeCell ref="I17:I18"/>
    <mergeCell ref="J17:J18"/>
    <mergeCell ref="K17:K18"/>
    <mergeCell ref="B17:B18"/>
    <mergeCell ref="C17:C18"/>
    <mergeCell ref="D17:D18"/>
    <mergeCell ref="G17:G18"/>
    <mergeCell ref="H17:H18"/>
  </mergeCells>
  <pageMargins left="0.19685039370078741" right="0.19685039370078741" top="0.19685039370078741" bottom="0.19685039370078741" header="0.19685039370078741" footer="0.1968503937007874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zoomScale="80" zoomScaleNormal="80" workbookViewId="0">
      <pane ySplit="4" topLeftCell="A14" activePane="bottomLeft" state="frozen"/>
      <selection pane="bottomLeft" activeCell="C28" sqref="C28"/>
    </sheetView>
  </sheetViews>
  <sheetFormatPr defaultRowHeight="15" x14ac:dyDescent="0.25"/>
  <cols>
    <col min="1" max="1" width="3.28515625" style="2" customWidth="1"/>
    <col min="2" max="2" width="61.7109375" style="2" customWidth="1"/>
    <col min="3" max="3" width="25" style="2" customWidth="1"/>
    <col min="4" max="4" width="44.42578125" style="2" customWidth="1"/>
    <col min="5" max="5" width="26.42578125" style="2" customWidth="1"/>
    <col min="6" max="6" width="19.85546875" style="2" customWidth="1"/>
    <col min="7" max="7" width="20.85546875" style="2" customWidth="1"/>
    <col min="8" max="8" width="17.5703125" style="2" customWidth="1"/>
    <col min="9" max="9" width="27.140625" style="2" customWidth="1"/>
    <col min="10" max="10" width="14.85546875" style="2" customWidth="1"/>
    <col min="11" max="11" width="12.42578125" style="2" customWidth="1"/>
    <col min="12" max="12" width="4.140625" style="2" customWidth="1"/>
    <col min="13" max="16384" width="9.140625" style="2"/>
  </cols>
  <sheetData>
    <row r="1" spans="2:11" ht="16.5" customHeight="1" x14ac:dyDescent="0.25">
      <c r="B1" s="87" t="s">
        <v>389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30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92.25" customHeight="1" x14ac:dyDescent="0.25">
      <c r="B3" s="86" t="s">
        <v>0</v>
      </c>
      <c r="C3" s="86" t="s">
        <v>8</v>
      </c>
      <c r="D3" s="86" t="s">
        <v>343</v>
      </c>
      <c r="E3" s="86" t="s">
        <v>3</v>
      </c>
      <c r="F3" s="86"/>
      <c r="G3" s="86" t="s">
        <v>6</v>
      </c>
      <c r="H3" s="86" t="s">
        <v>4</v>
      </c>
      <c r="I3" s="86" t="s">
        <v>7</v>
      </c>
      <c r="J3" s="86" t="s">
        <v>5</v>
      </c>
      <c r="K3" s="86"/>
    </row>
    <row r="4" spans="2:11" ht="28.5" x14ac:dyDescent="0.25">
      <c r="B4" s="86"/>
      <c r="C4" s="86"/>
      <c r="D4" s="86"/>
      <c r="E4" s="52" t="s">
        <v>344</v>
      </c>
      <c r="F4" s="52" t="s">
        <v>345</v>
      </c>
      <c r="G4" s="86"/>
      <c r="H4" s="86"/>
      <c r="I4" s="86"/>
      <c r="J4" s="52" t="s">
        <v>1</v>
      </c>
      <c r="K4" s="52" t="s">
        <v>2</v>
      </c>
    </row>
    <row r="5" spans="2:11" ht="31.5" x14ac:dyDescent="0.25">
      <c r="B5" s="20" t="s">
        <v>356</v>
      </c>
      <c r="C5" s="1" t="s">
        <v>409</v>
      </c>
      <c r="D5" s="3" t="s">
        <v>336</v>
      </c>
      <c r="E5" s="53" t="s">
        <v>359</v>
      </c>
      <c r="F5" s="46">
        <f>4081+27500+3510</f>
        <v>35091</v>
      </c>
      <c r="G5" s="53" t="s">
        <v>291</v>
      </c>
      <c r="H5" s="51">
        <v>849.79</v>
      </c>
      <c r="I5" s="53" t="s">
        <v>291</v>
      </c>
      <c r="J5" s="51">
        <v>14274032.49</v>
      </c>
      <c r="K5" s="51">
        <v>372068.93</v>
      </c>
    </row>
    <row r="6" spans="2:11" ht="30" x14ac:dyDescent="0.25">
      <c r="B6" s="20" t="s">
        <v>311</v>
      </c>
      <c r="C6" s="1" t="s">
        <v>409</v>
      </c>
      <c r="D6" s="3" t="s">
        <v>336</v>
      </c>
      <c r="E6" s="53" t="s">
        <v>359</v>
      </c>
      <c r="F6" s="46">
        <f>22946+105861+24560</f>
        <v>153367</v>
      </c>
      <c r="G6" s="53" t="s">
        <v>291</v>
      </c>
      <c r="H6" s="51">
        <v>4949.87</v>
      </c>
      <c r="I6" s="53" t="s">
        <v>291</v>
      </c>
      <c r="J6" s="51">
        <v>28216624.199999999</v>
      </c>
      <c r="K6" s="51">
        <v>819546.56</v>
      </c>
    </row>
    <row r="7" spans="2:11" ht="30" x14ac:dyDescent="0.25">
      <c r="B7" s="20" t="s">
        <v>312</v>
      </c>
      <c r="C7" s="1" t="s">
        <v>409</v>
      </c>
      <c r="D7" s="3" t="s">
        <v>336</v>
      </c>
      <c r="E7" s="53" t="s">
        <v>359</v>
      </c>
      <c r="F7" s="46">
        <f>15020+81246+19098</f>
        <v>115364</v>
      </c>
      <c r="G7" s="53" t="s">
        <v>291</v>
      </c>
      <c r="H7" s="51">
        <v>5638.56</v>
      </c>
      <c r="I7" s="53" t="s">
        <v>291</v>
      </c>
      <c r="J7" s="51">
        <v>34507341.549999997</v>
      </c>
      <c r="K7" s="51">
        <v>854346.12</v>
      </c>
    </row>
    <row r="8" spans="2:11" ht="30" x14ac:dyDescent="0.25">
      <c r="B8" s="20" t="s">
        <v>313</v>
      </c>
      <c r="C8" s="1" t="s">
        <v>409</v>
      </c>
      <c r="D8" s="3" t="s">
        <v>336</v>
      </c>
      <c r="E8" s="53" t="s">
        <v>359</v>
      </c>
      <c r="F8" s="46">
        <f>96185+70059+3241</f>
        <v>169485</v>
      </c>
      <c r="G8" s="53" t="s">
        <v>291</v>
      </c>
      <c r="H8" s="51">
        <v>4545.59</v>
      </c>
      <c r="I8" s="53" t="s">
        <v>291</v>
      </c>
      <c r="J8" s="51">
        <v>47628763.920000002</v>
      </c>
      <c r="K8" s="51">
        <v>2042167.43</v>
      </c>
    </row>
    <row r="9" spans="2:11" ht="31.5" x14ac:dyDescent="0.25">
      <c r="B9" s="20" t="s">
        <v>314</v>
      </c>
      <c r="C9" s="1" t="s">
        <v>409</v>
      </c>
      <c r="D9" s="3" t="s">
        <v>336</v>
      </c>
      <c r="E9" s="53" t="s">
        <v>359</v>
      </c>
      <c r="F9" s="46">
        <f>863806+200065+411164</f>
        <v>1475035</v>
      </c>
      <c r="G9" s="53" t="s">
        <v>291</v>
      </c>
      <c r="H9" s="51">
        <v>3368.04</v>
      </c>
      <c r="I9" s="53" t="s">
        <v>291</v>
      </c>
      <c r="J9" s="51">
        <v>176465384.38</v>
      </c>
      <c r="K9" s="51">
        <v>6153287.7199999997</v>
      </c>
    </row>
    <row r="10" spans="2:11" ht="31.5" x14ac:dyDescent="0.25">
      <c r="B10" s="20" t="s">
        <v>315</v>
      </c>
      <c r="C10" s="1" t="s">
        <v>409</v>
      </c>
      <c r="D10" s="3" t="s">
        <v>336</v>
      </c>
      <c r="E10" s="53" t="s">
        <v>359</v>
      </c>
      <c r="F10" s="46">
        <f>12+2096</f>
        <v>2108</v>
      </c>
      <c r="G10" s="53" t="s">
        <v>291</v>
      </c>
      <c r="H10" s="51">
        <v>4052.23</v>
      </c>
      <c r="I10" s="53" t="s">
        <v>291</v>
      </c>
      <c r="J10" s="51">
        <v>12906340.41</v>
      </c>
      <c r="K10" s="51">
        <v>306198.08999999997</v>
      </c>
    </row>
    <row r="11" spans="2:11" ht="31.5" x14ac:dyDescent="0.25">
      <c r="B11" s="20" t="s">
        <v>316</v>
      </c>
      <c r="C11" s="1" t="s">
        <v>409</v>
      </c>
      <c r="D11" s="3" t="s">
        <v>336</v>
      </c>
      <c r="E11" s="53" t="s">
        <v>359</v>
      </c>
      <c r="F11" s="46">
        <f>76+1272</f>
        <v>1348</v>
      </c>
      <c r="G11" s="53" t="s">
        <v>291</v>
      </c>
      <c r="H11" s="51">
        <v>3114.4</v>
      </c>
      <c r="I11" s="53" t="s">
        <v>291</v>
      </c>
      <c r="J11" s="51">
        <v>31045902.649999999</v>
      </c>
      <c r="K11" s="51">
        <v>1141679.8700000001</v>
      </c>
    </row>
    <row r="12" spans="2:11" ht="31.5" x14ac:dyDescent="0.25">
      <c r="B12" s="20" t="s">
        <v>317</v>
      </c>
      <c r="C12" s="1" t="s">
        <v>409</v>
      </c>
      <c r="D12" s="3" t="s">
        <v>336</v>
      </c>
      <c r="E12" s="53" t="s">
        <v>359</v>
      </c>
      <c r="F12" s="46">
        <f>107+1845</f>
        <v>1952</v>
      </c>
      <c r="G12" s="53" t="s">
        <v>291</v>
      </c>
      <c r="H12" s="51">
        <v>5987.76</v>
      </c>
      <c r="I12" s="53" t="s">
        <v>291</v>
      </c>
      <c r="J12" s="51">
        <v>58777993.520000003</v>
      </c>
      <c r="K12" s="51">
        <v>1718272.57</v>
      </c>
    </row>
    <row r="13" spans="2:11" ht="31.5" x14ac:dyDescent="0.25">
      <c r="B13" s="20" t="s">
        <v>318</v>
      </c>
      <c r="C13" s="1" t="s">
        <v>409</v>
      </c>
      <c r="D13" s="3" t="s">
        <v>336</v>
      </c>
      <c r="E13" s="53" t="s">
        <v>359</v>
      </c>
      <c r="F13" s="46">
        <f>103+2869</f>
        <v>2972</v>
      </c>
      <c r="G13" s="53" t="s">
        <v>291</v>
      </c>
      <c r="H13" s="51">
        <v>21380.14</v>
      </c>
      <c r="I13" s="53" t="s">
        <v>291</v>
      </c>
      <c r="J13" s="51">
        <v>87371773.420000002</v>
      </c>
      <c r="K13" s="51">
        <v>3765397.45</v>
      </c>
    </row>
    <row r="14" spans="2:11" ht="31.5" x14ac:dyDescent="0.25">
      <c r="B14" s="20" t="s">
        <v>407</v>
      </c>
      <c r="C14" s="1" t="s">
        <v>409</v>
      </c>
      <c r="D14" s="3" t="s">
        <v>336</v>
      </c>
      <c r="E14" s="53" t="s">
        <v>359</v>
      </c>
      <c r="F14" s="46">
        <v>320</v>
      </c>
      <c r="G14" s="53" t="s">
        <v>291</v>
      </c>
      <c r="H14" s="51">
        <v>3051.8</v>
      </c>
      <c r="I14" s="53" t="s">
        <v>291</v>
      </c>
      <c r="J14" s="51">
        <v>14591531.23</v>
      </c>
      <c r="K14" s="51">
        <v>552857.18000000005</v>
      </c>
    </row>
    <row r="15" spans="2:11" ht="30" x14ac:dyDescent="0.25">
      <c r="B15" s="59" t="s">
        <v>408</v>
      </c>
      <c r="C15" s="1" t="s">
        <v>409</v>
      </c>
      <c r="D15" s="3" t="s">
        <v>336</v>
      </c>
      <c r="E15" s="53" t="s">
        <v>359</v>
      </c>
      <c r="F15" s="46">
        <f>73+149</f>
        <v>222</v>
      </c>
      <c r="G15" s="53" t="s">
        <v>291</v>
      </c>
      <c r="H15" s="51">
        <v>409.91</v>
      </c>
      <c r="I15" s="53" t="s">
        <v>291</v>
      </c>
      <c r="J15" s="51">
        <v>8339636.3770000013</v>
      </c>
      <c r="K15" s="51">
        <v>233163.33300000004</v>
      </c>
    </row>
    <row r="16" spans="2:11" ht="30" x14ac:dyDescent="0.25">
      <c r="B16" s="20" t="s">
        <v>319</v>
      </c>
      <c r="C16" s="1" t="s">
        <v>409</v>
      </c>
      <c r="D16" s="3" t="s">
        <v>336</v>
      </c>
      <c r="E16" s="53" t="s">
        <v>359</v>
      </c>
      <c r="F16" s="46">
        <f>55+1807</f>
        <v>1862</v>
      </c>
      <c r="G16" s="53" t="s">
        <v>291</v>
      </c>
      <c r="H16" s="51">
        <v>5571</v>
      </c>
      <c r="I16" s="53" t="s">
        <v>291</v>
      </c>
      <c r="J16" s="51">
        <v>30586989.010000002</v>
      </c>
      <c r="K16" s="51">
        <v>2284432.64</v>
      </c>
    </row>
    <row r="17" spans="2:11" ht="30" x14ac:dyDescent="0.25">
      <c r="B17" s="20" t="s">
        <v>320</v>
      </c>
      <c r="C17" s="1" t="s">
        <v>409</v>
      </c>
      <c r="D17" s="3" t="s">
        <v>336</v>
      </c>
      <c r="E17" s="53" t="s">
        <v>359</v>
      </c>
      <c r="F17" s="46">
        <f>11+73+1148+288</f>
        <v>1520</v>
      </c>
      <c r="G17" s="53" t="s">
        <v>291</v>
      </c>
      <c r="H17" s="51">
        <v>65350.400000000001</v>
      </c>
      <c r="I17" s="53" t="s">
        <v>291</v>
      </c>
      <c r="J17" s="51">
        <v>88288064.650000006</v>
      </c>
      <c r="K17" s="51">
        <v>2723838.88</v>
      </c>
    </row>
    <row r="18" spans="2:11" ht="30" x14ac:dyDescent="0.25">
      <c r="B18" s="20" t="s">
        <v>321</v>
      </c>
      <c r="C18" s="1" t="s">
        <v>409</v>
      </c>
      <c r="D18" s="3" t="s">
        <v>337</v>
      </c>
      <c r="E18" s="1" t="s">
        <v>410</v>
      </c>
      <c r="F18" s="46">
        <v>1391</v>
      </c>
      <c r="G18" s="53" t="s">
        <v>291</v>
      </c>
      <c r="H18" s="51">
        <v>7840.85</v>
      </c>
      <c r="I18" s="53" t="s">
        <v>291</v>
      </c>
      <c r="J18" s="51">
        <v>57241316.259999998</v>
      </c>
      <c r="K18" s="51">
        <v>2854871.4</v>
      </c>
    </row>
    <row r="19" spans="2:11" ht="30" x14ac:dyDescent="0.25">
      <c r="B19" s="20" t="s">
        <v>322</v>
      </c>
      <c r="C19" s="1" t="s">
        <v>409</v>
      </c>
      <c r="D19" s="3" t="s">
        <v>337</v>
      </c>
      <c r="E19" s="1" t="s">
        <v>410</v>
      </c>
      <c r="F19" s="46">
        <v>854</v>
      </c>
      <c r="G19" s="53" t="s">
        <v>291</v>
      </c>
      <c r="H19" s="51">
        <v>2396.63</v>
      </c>
      <c r="I19" s="53" t="s">
        <v>291</v>
      </c>
      <c r="J19" s="51">
        <v>58531706.57</v>
      </c>
      <c r="K19" s="51">
        <v>1446560.88</v>
      </c>
    </row>
    <row r="20" spans="2:11" ht="31.5" x14ac:dyDescent="0.25">
      <c r="B20" s="20" t="s">
        <v>327</v>
      </c>
      <c r="C20" s="1" t="s">
        <v>409</v>
      </c>
      <c r="D20" s="3" t="s">
        <v>337</v>
      </c>
      <c r="E20" s="1" t="s">
        <v>410</v>
      </c>
      <c r="F20" s="46">
        <v>676</v>
      </c>
      <c r="G20" s="53" t="s">
        <v>291</v>
      </c>
      <c r="H20" s="51">
        <v>2313.73</v>
      </c>
      <c r="I20" s="53" t="s">
        <v>291</v>
      </c>
      <c r="J20" s="51">
        <v>46544506.020000003</v>
      </c>
      <c r="K20" s="51">
        <v>533128.6</v>
      </c>
    </row>
    <row r="21" spans="2:11" ht="30" x14ac:dyDescent="0.25">
      <c r="B21" s="20" t="s">
        <v>323</v>
      </c>
      <c r="C21" s="1" t="s">
        <v>409</v>
      </c>
      <c r="D21" s="3" t="s">
        <v>337</v>
      </c>
      <c r="E21" s="1" t="s">
        <v>410</v>
      </c>
      <c r="F21" s="46">
        <v>1062</v>
      </c>
      <c r="G21" s="53" t="s">
        <v>291</v>
      </c>
      <c r="H21" s="51">
        <v>2458.2600000000002</v>
      </c>
      <c r="I21" s="53" t="s">
        <v>291</v>
      </c>
      <c r="J21" s="51">
        <v>78398062.870000005</v>
      </c>
      <c r="K21" s="51">
        <v>507500</v>
      </c>
    </row>
    <row r="22" spans="2:11" ht="30" x14ac:dyDescent="0.25">
      <c r="B22" s="20" t="s">
        <v>324</v>
      </c>
      <c r="C22" s="1" t="s">
        <v>409</v>
      </c>
      <c r="D22" s="3" t="s">
        <v>337</v>
      </c>
      <c r="E22" s="1" t="s">
        <v>410</v>
      </c>
      <c r="F22" s="46">
        <v>1259</v>
      </c>
      <c r="G22" s="53" t="s">
        <v>291</v>
      </c>
      <c r="H22" s="51">
        <v>4738.62</v>
      </c>
      <c r="I22" s="53" t="s">
        <v>291</v>
      </c>
      <c r="J22" s="51">
        <v>51360642.240000002</v>
      </c>
      <c r="K22" s="51">
        <v>448000</v>
      </c>
    </row>
    <row r="23" spans="2:11" ht="30" x14ac:dyDescent="0.25">
      <c r="B23" s="20" t="s">
        <v>325</v>
      </c>
      <c r="C23" s="1" t="s">
        <v>409</v>
      </c>
      <c r="D23" s="3" t="s">
        <v>337</v>
      </c>
      <c r="E23" s="1" t="s">
        <v>410</v>
      </c>
      <c r="F23" s="46">
        <v>582</v>
      </c>
      <c r="G23" s="53" t="s">
        <v>291</v>
      </c>
      <c r="H23" s="51">
        <v>1416.44</v>
      </c>
      <c r="I23" s="53" t="s">
        <v>291</v>
      </c>
      <c r="J23" s="51">
        <v>32340960.48</v>
      </c>
      <c r="K23" s="51">
        <v>304500</v>
      </c>
    </row>
    <row r="24" spans="2:11" ht="60" x14ac:dyDescent="0.25">
      <c r="B24" s="20" t="s">
        <v>326</v>
      </c>
      <c r="C24" s="1" t="s">
        <v>409</v>
      </c>
      <c r="D24" s="3" t="s">
        <v>411</v>
      </c>
      <c r="E24" s="53" t="s">
        <v>368</v>
      </c>
      <c r="F24" s="46">
        <v>20</v>
      </c>
      <c r="G24" s="53" t="s">
        <v>291</v>
      </c>
      <c r="H24" s="51" t="s">
        <v>412</v>
      </c>
      <c r="I24" s="53" t="s">
        <v>291</v>
      </c>
      <c r="J24" s="51">
        <v>14267394.52</v>
      </c>
      <c r="K24" s="51">
        <v>0</v>
      </c>
    </row>
    <row r="25" spans="2:11" ht="45" x14ac:dyDescent="0.25">
      <c r="B25" s="20" t="s">
        <v>379</v>
      </c>
      <c r="C25" s="1" t="s">
        <v>409</v>
      </c>
      <c r="D25" s="3" t="s">
        <v>328</v>
      </c>
      <c r="E25" s="37" t="s">
        <v>377</v>
      </c>
      <c r="F25" s="46">
        <v>2844</v>
      </c>
      <c r="G25" s="53" t="s">
        <v>291</v>
      </c>
      <c r="H25" s="51">
        <v>1951.71</v>
      </c>
      <c r="I25" s="53" t="s">
        <v>291</v>
      </c>
      <c r="J25" s="51">
        <v>27194570.629999999</v>
      </c>
      <c r="K25" s="51">
        <v>0</v>
      </c>
    </row>
    <row r="26" spans="2:11" ht="30" x14ac:dyDescent="0.25">
      <c r="B26" s="20" t="s">
        <v>340</v>
      </c>
      <c r="C26" s="1" t="s">
        <v>409</v>
      </c>
      <c r="D26" s="3" t="s">
        <v>413</v>
      </c>
      <c r="E26" s="53" t="s">
        <v>359</v>
      </c>
      <c r="F26" s="46">
        <f>17+11+10+11</f>
        <v>49</v>
      </c>
      <c r="G26" s="53" t="s">
        <v>291</v>
      </c>
      <c r="H26" s="51" t="s">
        <v>412</v>
      </c>
      <c r="I26" s="53" t="s">
        <v>291</v>
      </c>
      <c r="J26" s="51">
        <v>6552187</v>
      </c>
      <c r="K26" s="51">
        <v>910000</v>
      </c>
    </row>
  </sheetData>
  <mergeCells count="9">
    <mergeCell ref="G3:G4"/>
    <mergeCell ref="H3:H4"/>
    <mergeCell ref="I3:I4"/>
    <mergeCell ref="B1:K2"/>
    <mergeCell ref="J3:K3"/>
    <mergeCell ref="B3:B4"/>
    <mergeCell ref="C3:C4"/>
    <mergeCell ref="D3:D4"/>
    <mergeCell ref="E3:F3"/>
  </mergeCells>
  <pageMargins left="0.19685039370078741" right="0.19685039370078741" top="0.19685039370078741" bottom="0.19685039370078741" header="0.19685039370078741" footer="0.19685039370078741"/>
  <pageSetup paperSize="9" scale="5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zoomScale="80" zoomScaleNormal="80" workbookViewId="0">
      <pane ySplit="4" topLeftCell="A5" activePane="bottomLeft" state="frozen"/>
      <selection pane="bottomLeft" activeCell="K17" sqref="K17"/>
    </sheetView>
  </sheetViews>
  <sheetFormatPr defaultRowHeight="15" x14ac:dyDescent="0.25"/>
  <cols>
    <col min="1" max="1" width="4.28515625" style="2" customWidth="1"/>
    <col min="2" max="2" width="47.7109375" style="2" customWidth="1"/>
    <col min="3" max="3" width="17.7109375" style="2" bestFit="1" customWidth="1"/>
    <col min="4" max="5" width="25.28515625" style="2" customWidth="1"/>
    <col min="6" max="6" width="27.42578125" style="2" bestFit="1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2" width="3.42578125" style="2" customWidth="1"/>
    <col min="13" max="16384" width="9.140625" style="2"/>
  </cols>
  <sheetData>
    <row r="1" spans="2:11" ht="16.5" customHeight="1" x14ac:dyDescent="0.25">
      <c r="B1" s="87" t="s">
        <v>389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30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92.25" customHeight="1" x14ac:dyDescent="0.25">
      <c r="B3" s="86" t="s">
        <v>0</v>
      </c>
      <c r="C3" s="86" t="s">
        <v>8</v>
      </c>
      <c r="D3" s="86" t="s">
        <v>343</v>
      </c>
      <c r="E3" s="86" t="s">
        <v>3</v>
      </c>
      <c r="F3" s="86"/>
      <c r="G3" s="86" t="s">
        <v>6</v>
      </c>
      <c r="H3" s="86" t="s">
        <v>4</v>
      </c>
      <c r="I3" s="86" t="s">
        <v>7</v>
      </c>
      <c r="J3" s="86" t="s">
        <v>5</v>
      </c>
      <c r="K3" s="86"/>
    </row>
    <row r="4" spans="2:11" ht="28.5" x14ac:dyDescent="0.25">
      <c r="B4" s="86"/>
      <c r="C4" s="86"/>
      <c r="D4" s="86"/>
      <c r="E4" s="14" t="s">
        <v>344</v>
      </c>
      <c r="F4" s="14" t="s">
        <v>345</v>
      </c>
      <c r="G4" s="86"/>
      <c r="H4" s="86"/>
      <c r="I4" s="86"/>
      <c r="J4" s="14" t="s">
        <v>1</v>
      </c>
      <c r="K4" s="14" t="s">
        <v>2</v>
      </c>
    </row>
    <row r="5" spans="2:11" ht="31.5" customHeight="1" x14ac:dyDescent="0.25">
      <c r="B5" s="16" t="s">
        <v>392</v>
      </c>
      <c r="C5" s="110" t="s">
        <v>358</v>
      </c>
      <c r="D5" s="110" t="s">
        <v>341</v>
      </c>
      <c r="E5" s="108" t="s">
        <v>357</v>
      </c>
      <c r="F5" s="47">
        <v>650</v>
      </c>
      <c r="G5" s="40" t="s">
        <v>291</v>
      </c>
      <c r="H5" s="48">
        <v>1867.5</v>
      </c>
      <c r="I5" s="40" t="s">
        <v>291</v>
      </c>
      <c r="J5" s="49">
        <v>32866352.850000001</v>
      </c>
      <c r="K5" s="49">
        <v>151666.67000000001</v>
      </c>
    </row>
    <row r="6" spans="2:11" ht="15.75" x14ac:dyDescent="0.25">
      <c r="B6" s="16" t="s">
        <v>393</v>
      </c>
      <c r="C6" s="119"/>
      <c r="D6" s="119"/>
      <c r="E6" s="118"/>
      <c r="F6" s="47">
        <v>167</v>
      </c>
      <c r="G6" s="40" t="s">
        <v>291</v>
      </c>
      <c r="H6" s="48">
        <v>915.5</v>
      </c>
      <c r="I6" s="40" t="s">
        <v>291</v>
      </c>
      <c r="J6" s="49">
        <v>26668.1</v>
      </c>
      <c r="K6" s="49">
        <v>30.3</v>
      </c>
    </row>
    <row r="7" spans="2:11" ht="15.75" x14ac:dyDescent="0.25">
      <c r="B7" s="16" t="s">
        <v>394</v>
      </c>
      <c r="C7" s="119"/>
      <c r="D7" s="119"/>
      <c r="E7" s="118"/>
      <c r="F7" s="47">
        <v>200</v>
      </c>
      <c r="G7" s="40" t="s">
        <v>291</v>
      </c>
      <c r="H7" s="48">
        <v>62.1</v>
      </c>
      <c r="I7" s="40" t="s">
        <v>291</v>
      </c>
      <c r="J7" s="49">
        <v>8585614</v>
      </c>
      <c r="K7" s="49">
        <v>0</v>
      </c>
    </row>
    <row r="8" spans="2:11" ht="15.75" x14ac:dyDescent="0.25">
      <c r="B8" s="16" t="s">
        <v>395</v>
      </c>
      <c r="C8" s="119"/>
      <c r="D8" s="119"/>
      <c r="E8" s="118"/>
      <c r="F8" s="47">
        <v>415</v>
      </c>
      <c r="G8" s="40" t="s">
        <v>291</v>
      </c>
      <c r="H8" s="48">
        <v>1052.6099999999999</v>
      </c>
      <c r="I8" s="40" t="s">
        <v>291</v>
      </c>
      <c r="J8" s="49">
        <v>22366.59</v>
      </c>
      <c r="K8" s="49">
        <v>424.66</v>
      </c>
    </row>
    <row r="9" spans="2:11" ht="15.75" x14ac:dyDescent="0.25">
      <c r="B9" s="16" t="s">
        <v>396</v>
      </c>
      <c r="C9" s="119"/>
      <c r="D9" s="119"/>
      <c r="E9" s="118"/>
      <c r="F9" s="47">
        <v>604</v>
      </c>
      <c r="G9" s="40" t="s">
        <v>291</v>
      </c>
      <c r="H9" s="48">
        <v>0</v>
      </c>
      <c r="I9" s="40" t="s">
        <v>291</v>
      </c>
      <c r="J9" s="49">
        <v>16399.169999999998</v>
      </c>
      <c r="K9" s="49">
        <v>0</v>
      </c>
    </row>
    <row r="10" spans="2:11" ht="15.75" x14ac:dyDescent="0.25">
      <c r="B10" s="16" t="s">
        <v>397</v>
      </c>
      <c r="C10" s="119"/>
      <c r="D10" s="119"/>
      <c r="E10" s="118"/>
      <c r="F10" s="47">
        <v>536</v>
      </c>
      <c r="G10" s="40" t="s">
        <v>291</v>
      </c>
      <c r="H10" s="48">
        <v>922.04</v>
      </c>
      <c r="I10" s="40" t="s">
        <v>291</v>
      </c>
      <c r="J10" s="49">
        <v>0</v>
      </c>
      <c r="K10" s="49">
        <v>674.07</v>
      </c>
    </row>
    <row r="11" spans="2:11" ht="15.75" x14ac:dyDescent="0.25">
      <c r="B11" s="16" t="s">
        <v>398</v>
      </c>
      <c r="C11" s="119"/>
      <c r="D11" s="119"/>
      <c r="E11" s="118"/>
      <c r="F11" s="47">
        <v>990</v>
      </c>
      <c r="G11" s="40" t="s">
        <v>291</v>
      </c>
      <c r="H11" s="48">
        <v>1062.0999999999999</v>
      </c>
      <c r="I11" s="40" t="s">
        <v>291</v>
      </c>
      <c r="J11" s="49">
        <v>56617.1</v>
      </c>
      <c r="K11" s="49">
        <v>175.3</v>
      </c>
    </row>
    <row r="12" spans="2:11" ht="15.75" x14ac:dyDescent="0.25">
      <c r="B12" s="16" t="s">
        <v>399</v>
      </c>
      <c r="C12" s="119"/>
      <c r="D12" s="119"/>
      <c r="E12" s="118"/>
      <c r="F12" s="47">
        <v>445</v>
      </c>
      <c r="G12" s="40" t="s">
        <v>291</v>
      </c>
      <c r="H12" s="48">
        <v>1816.08</v>
      </c>
      <c r="I12" s="40" t="s">
        <v>291</v>
      </c>
      <c r="J12" s="49">
        <v>39013006.799999997</v>
      </c>
      <c r="K12" s="49">
        <v>424666.66</v>
      </c>
    </row>
    <row r="13" spans="2:11" ht="15.75" x14ac:dyDescent="0.25">
      <c r="B13" s="16" t="s">
        <v>400</v>
      </c>
      <c r="C13" s="119"/>
      <c r="D13" s="119"/>
      <c r="E13" s="118"/>
      <c r="F13" s="47">
        <v>673</v>
      </c>
      <c r="G13" s="40" t="s">
        <v>291</v>
      </c>
      <c r="H13" s="48">
        <v>243.9</v>
      </c>
      <c r="I13" s="40" t="s">
        <v>291</v>
      </c>
      <c r="J13" s="49">
        <v>149807.5</v>
      </c>
      <c r="K13" s="49">
        <v>39595.1</v>
      </c>
    </row>
    <row r="14" spans="2:11" ht="15.75" x14ac:dyDescent="0.25">
      <c r="B14" s="16" t="s">
        <v>401</v>
      </c>
      <c r="C14" s="119"/>
      <c r="D14" s="119"/>
      <c r="E14" s="118"/>
      <c r="F14" s="47">
        <v>1202</v>
      </c>
      <c r="G14" s="40" t="s">
        <v>291</v>
      </c>
      <c r="H14" s="48">
        <v>4184.5</v>
      </c>
      <c r="I14" s="40" t="s">
        <v>291</v>
      </c>
      <c r="J14" s="49">
        <v>65126047.93</v>
      </c>
      <c r="K14" s="49">
        <v>2616271.87</v>
      </c>
    </row>
    <row r="15" spans="2:11" ht="15.75" x14ac:dyDescent="0.25">
      <c r="B15" s="16" t="s">
        <v>402</v>
      </c>
      <c r="C15" s="119"/>
      <c r="D15" s="119"/>
      <c r="E15" s="118"/>
      <c r="F15" s="47">
        <v>703</v>
      </c>
      <c r="G15" s="40" t="s">
        <v>291</v>
      </c>
      <c r="H15" s="48">
        <v>4785.8</v>
      </c>
      <c r="I15" s="40" t="s">
        <v>291</v>
      </c>
      <c r="J15" s="49">
        <v>32986675.920000002</v>
      </c>
      <c r="K15" s="49">
        <v>0</v>
      </c>
    </row>
    <row r="16" spans="2:11" ht="15.75" x14ac:dyDescent="0.25">
      <c r="B16" s="16" t="s">
        <v>403</v>
      </c>
      <c r="C16" s="119"/>
      <c r="D16" s="119"/>
      <c r="E16" s="118"/>
      <c r="F16" s="47">
        <v>6656</v>
      </c>
      <c r="G16" s="41"/>
      <c r="H16" s="48">
        <v>5566.1</v>
      </c>
      <c r="I16" s="41"/>
      <c r="J16" s="49">
        <v>82743491.230000004</v>
      </c>
      <c r="K16" s="49">
        <v>90000000</v>
      </c>
    </row>
    <row r="17" spans="2:11" ht="47.25" x14ac:dyDescent="0.25">
      <c r="B17" s="39" t="s">
        <v>378</v>
      </c>
      <c r="C17" s="111"/>
      <c r="D17" s="111"/>
      <c r="E17" s="109"/>
      <c r="F17" s="24">
        <f>SUM(F5:F16)</f>
        <v>13241</v>
      </c>
      <c r="G17" s="23" t="s">
        <v>291</v>
      </c>
      <c r="H17" s="38">
        <f>SUM(H5:H16)</f>
        <v>22478.230000000003</v>
      </c>
      <c r="I17" s="23" t="s">
        <v>291</v>
      </c>
      <c r="J17" s="23" t="s">
        <v>291</v>
      </c>
      <c r="K17" s="23" t="s">
        <v>291</v>
      </c>
    </row>
    <row r="18" spans="2:11" x14ac:dyDescent="0.25">
      <c r="B18" s="5"/>
      <c r="C18" s="6"/>
      <c r="D18" s="6"/>
      <c r="E18" s="6"/>
      <c r="F18" s="7"/>
      <c r="G18" s="7"/>
      <c r="H18" s="8"/>
      <c r="I18" s="7"/>
      <c r="J18" s="7"/>
      <c r="K18" s="7"/>
    </row>
    <row r="19" spans="2:11" x14ac:dyDescent="0.25">
      <c r="B19" s="5"/>
      <c r="C19" s="6"/>
      <c r="D19" s="6"/>
      <c r="E19" s="6"/>
      <c r="F19" s="7"/>
      <c r="G19" s="7"/>
      <c r="H19" s="8"/>
      <c r="I19" s="7"/>
      <c r="J19" s="7"/>
      <c r="K19" s="7"/>
    </row>
  </sheetData>
  <mergeCells count="12">
    <mergeCell ref="E5:E17"/>
    <mergeCell ref="D5:D17"/>
    <mergeCell ref="C5:C17"/>
    <mergeCell ref="B1:K2"/>
    <mergeCell ref="B3:B4"/>
    <mergeCell ref="C3:C4"/>
    <mergeCell ref="D3:D4"/>
    <mergeCell ref="G3:G4"/>
    <mergeCell ref="H3:H4"/>
    <mergeCell ref="I3:I4"/>
    <mergeCell ref="J3:K3"/>
    <mergeCell ref="E3:F3"/>
  </mergeCells>
  <pageMargins left="0.19685039370078741" right="0.19685039370078741" top="0.19685039370078741" bottom="0.19685039370078741" header="0.19685039370078741" footer="0.19685039370078741"/>
  <pageSetup paperSize="9" scale="53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zoomScale="80" zoomScaleNormal="80" workbookViewId="0">
      <pane ySplit="4" topLeftCell="A5" activePane="bottomLeft" state="frozen"/>
      <selection pane="bottomLeft" activeCell="K15" sqref="K15"/>
    </sheetView>
  </sheetViews>
  <sheetFormatPr defaultRowHeight="15" x14ac:dyDescent="0.25"/>
  <cols>
    <col min="1" max="1" width="3" style="2" customWidth="1"/>
    <col min="2" max="2" width="36.42578125" style="2" customWidth="1"/>
    <col min="3" max="3" width="22.140625" style="2" bestFit="1" customWidth="1"/>
    <col min="4" max="4" width="25.28515625" style="2" customWidth="1"/>
    <col min="5" max="5" width="33.85546875" style="2" customWidth="1"/>
    <col min="6" max="6" width="15.57031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2" width="3.7109375" style="2" customWidth="1"/>
    <col min="13" max="16384" width="9.140625" style="2"/>
  </cols>
  <sheetData>
    <row r="1" spans="2:11" ht="16.5" customHeight="1" x14ac:dyDescent="0.25">
      <c r="B1" s="87" t="s">
        <v>389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26.2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92.25" customHeight="1" x14ac:dyDescent="0.25">
      <c r="B3" s="86" t="s">
        <v>0</v>
      </c>
      <c r="C3" s="86" t="s">
        <v>8</v>
      </c>
      <c r="D3" s="86" t="s">
        <v>343</v>
      </c>
      <c r="E3" s="86" t="s">
        <v>3</v>
      </c>
      <c r="F3" s="86"/>
      <c r="G3" s="86" t="s">
        <v>6</v>
      </c>
      <c r="H3" s="86" t="s">
        <v>4</v>
      </c>
      <c r="I3" s="86" t="s">
        <v>7</v>
      </c>
      <c r="J3" s="86" t="s">
        <v>5</v>
      </c>
      <c r="K3" s="86"/>
    </row>
    <row r="4" spans="2:11" ht="28.5" x14ac:dyDescent="0.25">
      <c r="B4" s="86"/>
      <c r="C4" s="86"/>
      <c r="D4" s="86"/>
      <c r="E4" s="14" t="s">
        <v>344</v>
      </c>
      <c r="F4" s="14" t="s">
        <v>345</v>
      </c>
      <c r="G4" s="86"/>
      <c r="H4" s="86"/>
      <c r="I4" s="86"/>
      <c r="J4" s="14" t="s">
        <v>1</v>
      </c>
      <c r="K4" s="14" t="s">
        <v>2</v>
      </c>
    </row>
    <row r="5" spans="2:11" ht="75" x14ac:dyDescent="0.25">
      <c r="B5" s="42" t="s">
        <v>9</v>
      </c>
      <c r="C5" s="43" t="s">
        <v>10</v>
      </c>
      <c r="D5" s="43" t="s">
        <v>338</v>
      </c>
      <c r="E5" s="44" t="s">
        <v>355</v>
      </c>
      <c r="F5" s="34">
        <v>3056</v>
      </c>
      <c r="G5" s="40" t="s">
        <v>291</v>
      </c>
      <c r="H5" s="35">
        <v>658.5</v>
      </c>
      <c r="I5" s="40" t="s">
        <v>291</v>
      </c>
      <c r="J5" s="36">
        <v>11812.6</v>
      </c>
      <c r="K5" s="36">
        <v>0</v>
      </c>
    </row>
    <row r="6" spans="2:11" ht="75" x14ac:dyDescent="0.25">
      <c r="B6" s="42" t="s">
        <v>11</v>
      </c>
      <c r="C6" s="43" t="s">
        <v>10</v>
      </c>
      <c r="D6" s="43" t="s">
        <v>339</v>
      </c>
      <c r="E6" s="44" t="s">
        <v>355</v>
      </c>
      <c r="F6" s="34">
        <v>6269</v>
      </c>
      <c r="G6" s="40" t="s">
        <v>291</v>
      </c>
      <c r="H6" s="35">
        <v>203.8</v>
      </c>
      <c r="I6" s="40" t="s">
        <v>291</v>
      </c>
      <c r="J6" s="36">
        <v>6515.8</v>
      </c>
      <c r="K6" s="36">
        <v>21</v>
      </c>
    </row>
    <row r="7" spans="2:11" ht="93.75" x14ac:dyDescent="0.25">
      <c r="B7" s="15" t="s">
        <v>332</v>
      </c>
      <c r="C7" s="3" t="s">
        <v>354</v>
      </c>
      <c r="D7" s="3" t="s">
        <v>335</v>
      </c>
      <c r="E7" s="32" t="s">
        <v>352</v>
      </c>
      <c r="F7" s="46">
        <v>6976</v>
      </c>
      <c r="G7" s="40" t="s">
        <v>291</v>
      </c>
      <c r="H7" s="48">
        <v>81235520</v>
      </c>
      <c r="I7" s="40" t="s">
        <v>291</v>
      </c>
      <c r="J7" s="36">
        <v>0</v>
      </c>
      <c r="K7" s="36">
        <v>0</v>
      </c>
    </row>
    <row r="8" spans="2:11" ht="30" customHeight="1" x14ac:dyDescent="0.25">
      <c r="B8" s="122" t="s">
        <v>342</v>
      </c>
      <c r="C8" s="125" t="s">
        <v>387</v>
      </c>
      <c r="D8" s="125" t="s">
        <v>388</v>
      </c>
      <c r="E8" s="31" t="s">
        <v>369</v>
      </c>
      <c r="F8" s="33">
        <v>185</v>
      </c>
      <c r="G8" s="108" t="s">
        <v>291</v>
      </c>
      <c r="H8" s="136">
        <v>15448.2</v>
      </c>
      <c r="I8" s="79" t="s">
        <v>291</v>
      </c>
      <c r="J8" s="128">
        <v>27016.6</v>
      </c>
      <c r="K8" s="128">
        <v>0</v>
      </c>
    </row>
    <row r="9" spans="2:11" ht="34.5" customHeight="1" x14ac:dyDescent="0.25">
      <c r="B9" s="123"/>
      <c r="C9" s="126"/>
      <c r="D9" s="126"/>
      <c r="E9" s="31" t="s">
        <v>374</v>
      </c>
      <c r="F9" s="33">
        <v>61</v>
      </c>
      <c r="G9" s="118"/>
      <c r="H9" s="137"/>
      <c r="I9" s="135"/>
      <c r="J9" s="129"/>
      <c r="K9" s="129"/>
    </row>
    <row r="10" spans="2:11" ht="127.5" customHeight="1" x14ac:dyDescent="0.25">
      <c r="B10" s="123"/>
      <c r="C10" s="126"/>
      <c r="D10" s="126"/>
      <c r="E10" s="31" t="s">
        <v>373</v>
      </c>
      <c r="F10" s="33">
        <v>706</v>
      </c>
      <c r="G10" s="118"/>
      <c r="H10" s="137"/>
      <c r="I10" s="135"/>
      <c r="J10" s="129"/>
      <c r="K10" s="129"/>
    </row>
    <row r="11" spans="2:11" x14ac:dyDescent="0.25">
      <c r="B11" s="123"/>
      <c r="C11" s="126"/>
      <c r="D11" s="126"/>
      <c r="E11" s="31" t="s">
        <v>370</v>
      </c>
      <c r="F11" s="33">
        <v>44.2</v>
      </c>
      <c r="G11" s="118"/>
      <c r="H11" s="137"/>
      <c r="I11" s="135"/>
      <c r="J11" s="129"/>
      <c r="K11" s="129"/>
    </row>
    <row r="12" spans="2:11" x14ac:dyDescent="0.25">
      <c r="B12" s="124"/>
      <c r="C12" s="127"/>
      <c r="D12" s="127"/>
      <c r="E12" s="31" t="s">
        <v>415</v>
      </c>
      <c r="F12" s="33">
        <v>34024</v>
      </c>
      <c r="G12" s="109"/>
      <c r="H12" s="138"/>
      <c r="I12" s="80"/>
      <c r="J12" s="130"/>
      <c r="K12" s="130"/>
    </row>
    <row r="13" spans="2:11" ht="29.25" customHeight="1" x14ac:dyDescent="0.25">
      <c r="B13" s="120" t="s">
        <v>333</v>
      </c>
      <c r="C13" s="110" t="s">
        <v>353</v>
      </c>
      <c r="D13" s="110" t="s">
        <v>334</v>
      </c>
      <c r="E13" s="32" t="s">
        <v>350</v>
      </c>
      <c r="F13" s="50">
        <v>9</v>
      </c>
      <c r="G13" s="79" t="s">
        <v>291</v>
      </c>
      <c r="H13" s="131">
        <v>190</v>
      </c>
      <c r="I13" s="79" t="s">
        <v>291</v>
      </c>
      <c r="J13" s="133">
        <v>43648611.859999999</v>
      </c>
      <c r="K13" s="128">
        <v>0</v>
      </c>
    </row>
    <row r="14" spans="2:11" ht="51.75" customHeight="1" x14ac:dyDescent="0.25">
      <c r="B14" s="121"/>
      <c r="C14" s="111"/>
      <c r="D14" s="111"/>
      <c r="E14" s="32" t="s">
        <v>351</v>
      </c>
      <c r="F14" s="33"/>
      <c r="G14" s="80"/>
      <c r="H14" s="132"/>
      <c r="I14" s="80"/>
      <c r="J14" s="134"/>
      <c r="K14" s="130"/>
    </row>
    <row r="15" spans="2:11" x14ac:dyDescent="0.25">
      <c r="B15" s="5"/>
      <c r="C15" s="6"/>
      <c r="D15" s="6"/>
      <c r="E15" s="7"/>
      <c r="F15" s="7"/>
      <c r="G15" s="7"/>
      <c r="H15" s="8"/>
      <c r="I15" s="7"/>
      <c r="J15" s="7"/>
      <c r="K15" s="7"/>
    </row>
    <row r="16" spans="2:11" x14ac:dyDescent="0.25">
      <c r="B16" s="5"/>
      <c r="C16" s="6"/>
      <c r="D16" s="6"/>
      <c r="E16" s="7"/>
      <c r="F16" s="7"/>
      <c r="G16" s="7"/>
      <c r="H16" s="8"/>
      <c r="I16" s="7"/>
      <c r="J16" s="7"/>
      <c r="K16" s="7"/>
    </row>
    <row r="17" spans="2:11" x14ac:dyDescent="0.25">
      <c r="B17" s="5"/>
      <c r="C17" s="6"/>
      <c r="D17" s="6"/>
      <c r="E17" s="7"/>
      <c r="F17" s="7"/>
      <c r="G17" s="7"/>
      <c r="H17" s="8"/>
      <c r="I17" s="7"/>
      <c r="J17" s="7"/>
      <c r="K17" s="7"/>
    </row>
    <row r="18" spans="2:11" x14ac:dyDescent="0.25">
      <c r="B18" s="5"/>
      <c r="C18" s="6"/>
      <c r="D18" s="6"/>
      <c r="E18" s="7"/>
      <c r="F18" s="7"/>
      <c r="G18" s="7"/>
      <c r="H18" s="8"/>
      <c r="I18" s="7"/>
      <c r="J18" s="7"/>
      <c r="K18" s="7"/>
    </row>
    <row r="19" spans="2:11" x14ac:dyDescent="0.25">
      <c r="B19" s="5"/>
      <c r="C19" s="6"/>
      <c r="D19" s="6"/>
      <c r="E19" s="7"/>
      <c r="F19" s="7"/>
      <c r="G19" s="7"/>
      <c r="H19" s="8"/>
      <c r="I19" s="7"/>
      <c r="J19" s="7"/>
      <c r="K19" s="7"/>
    </row>
  </sheetData>
  <mergeCells count="25">
    <mergeCell ref="K8:K12"/>
    <mergeCell ref="G13:G14"/>
    <mergeCell ref="H13:H14"/>
    <mergeCell ref="J13:J14"/>
    <mergeCell ref="K13:K14"/>
    <mergeCell ref="J8:J12"/>
    <mergeCell ref="I13:I14"/>
    <mergeCell ref="G8:G12"/>
    <mergeCell ref="I8:I12"/>
    <mergeCell ref="H8:H12"/>
    <mergeCell ref="B13:B14"/>
    <mergeCell ref="C13:C14"/>
    <mergeCell ref="D13:D14"/>
    <mergeCell ref="B8:B12"/>
    <mergeCell ref="C8:C12"/>
    <mergeCell ref="D8:D12"/>
    <mergeCell ref="B1:K2"/>
    <mergeCell ref="J3:K3"/>
    <mergeCell ref="B3:B4"/>
    <mergeCell ref="C3:C4"/>
    <mergeCell ref="D3:D4"/>
    <mergeCell ref="E3:F3"/>
    <mergeCell ref="G3:G4"/>
    <mergeCell ref="H3:H4"/>
    <mergeCell ref="I3:I4"/>
  </mergeCells>
  <pageMargins left="0.19685039370078741" right="0.19685039370078741" top="0.19685039370078741" bottom="0.19685039370078741" header="0.19685039370078741" footer="0.19685039370078741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образование</vt:lpstr>
      <vt:lpstr>соц защита населения</vt:lpstr>
      <vt:lpstr>культура</vt:lpstr>
      <vt:lpstr>спорт</vt:lpstr>
      <vt:lpstr>прочие</vt:lpstr>
      <vt:lpstr>культура!Область_печати</vt:lpstr>
      <vt:lpstr>образование!Область_печати</vt:lpstr>
      <vt:lpstr>прочие!Область_печати</vt:lpstr>
      <vt:lpstr>'соц защита населения'!Область_печати</vt:lpstr>
      <vt:lpstr>спорт!Область_печати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2024-01-30T07:03:37Z</dcterms:modified>
</cp:coreProperties>
</file>